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9720" windowHeight="6540" activeTab="1"/>
  </bookViews>
  <sheets>
    <sheet name="Appendix A" sheetId="1" r:id="rId1"/>
    <sheet name="Sheet1" sheetId="2" r:id="rId2"/>
    <sheet name="Part 1.1a" sheetId="3" r:id="rId3"/>
    <sheet name="Part 1.1q" sheetId="4" r:id="rId4"/>
  </sheets>
  <definedNames/>
  <calcPr fullCalcOnLoad="1"/>
</workbook>
</file>

<file path=xl/comments1.xml><?xml version="1.0" encoding="utf-8"?>
<comments xmlns="http://schemas.openxmlformats.org/spreadsheetml/2006/main">
  <authors>
    <author>rjensen</author>
  </authors>
  <commentList>
    <comment ref="C14" authorId="0">
      <text>
        <r>
          <rPr>
            <b/>
            <sz val="8"/>
            <rFont val="Tahoma"/>
            <family val="0"/>
          </rPr>
          <t>rjensen:</t>
        </r>
        <r>
          <rPr>
            <sz val="8"/>
            <rFont val="Tahoma"/>
            <family val="0"/>
          </rPr>
          <t xml:space="preserve">
Paragraph 49 of FAS 123 requires reporting of fully diluted EPS in addition to primary earnings per share.</t>
        </r>
      </text>
    </comment>
    <comment ref="C24" authorId="0">
      <text>
        <r>
          <rPr>
            <b/>
            <sz val="8"/>
            <rFont val="Tahoma"/>
            <family val="0"/>
          </rPr>
          <t>rjensen:</t>
        </r>
        <r>
          <rPr>
            <sz val="8"/>
            <rFont val="Tahoma"/>
            <family val="0"/>
          </rPr>
          <t xml:space="preserve">
Paragraph 49 of FAS 123 requires reporting of fully diluted EPS in addition to primary earnings per share.</t>
        </r>
      </text>
    </comment>
    <comment ref="C34" authorId="0">
      <text>
        <r>
          <rPr>
            <b/>
            <sz val="8"/>
            <rFont val="Tahoma"/>
            <family val="0"/>
          </rPr>
          <t>rjensen:</t>
        </r>
        <r>
          <rPr>
            <sz val="8"/>
            <rFont val="Tahoma"/>
            <family val="0"/>
          </rPr>
          <t xml:space="preserve">
Paragraph 49 of FAS 123 requires reporting of fully diluted EPS in addition to primary earnings per share.</t>
        </r>
      </text>
    </comment>
    <comment ref="C44" authorId="0">
      <text>
        <r>
          <rPr>
            <b/>
            <sz val="8"/>
            <rFont val="Tahoma"/>
            <family val="0"/>
          </rPr>
          <t>rjensen:</t>
        </r>
        <r>
          <rPr>
            <sz val="8"/>
            <rFont val="Tahoma"/>
            <family val="0"/>
          </rPr>
          <t xml:space="preserve">
Paragraph 49 of FAS 123 requires reporting of fully diluted EPS in addition to primary earnings per share.</t>
        </r>
      </text>
    </comment>
    <comment ref="C54" authorId="0">
      <text>
        <r>
          <rPr>
            <b/>
            <sz val="8"/>
            <rFont val="Tahoma"/>
            <family val="0"/>
          </rPr>
          <t>rjensen:</t>
        </r>
        <r>
          <rPr>
            <sz val="8"/>
            <rFont val="Tahoma"/>
            <family val="0"/>
          </rPr>
          <t xml:space="preserve">
Paragraph 49 of FAS 123 requires reporting of fully diluted EPS in addition to primary earnings per share.</t>
        </r>
      </text>
    </comment>
  </commentList>
</comments>
</file>

<file path=xl/comments2.xml><?xml version="1.0" encoding="utf-8"?>
<comments xmlns="http://schemas.openxmlformats.org/spreadsheetml/2006/main">
  <authors>
    <author>rjensen</author>
  </authors>
  <commentList>
    <comment ref="C15" authorId="0">
      <text>
        <r>
          <rPr>
            <b/>
            <sz val="8"/>
            <rFont val="Tahoma"/>
            <family val="0"/>
          </rPr>
          <t>rjensen:</t>
        </r>
        <r>
          <rPr>
            <sz val="8"/>
            <rFont val="Tahoma"/>
            <family val="0"/>
          </rPr>
          <t xml:space="preserve">
Paragraph 49 of FAS 123 requires reporting of fully diluted EPS in addition to primary earnings per share.</t>
        </r>
      </text>
    </comment>
    <comment ref="C26" authorId="0">
      <text>
        <r>
          <rPr>
            <b/>
            <sz val="8"/>
            <rFont val="Tahoma"/>
            <family val="0"/>
          </rPr>
          <t>rjensen:</t>
        </r>
        <r>
          <rPr>
            <sz val="8"/>
            <rFont val="Tahoma"/>
            <family val="0"/>
          </rPr>
          <t xml:space="preserve">
Paragraph 49 of FAS 123 requires reporting of fully diluted EPS in addition to primary earnings per share.</t>
        </r>
      </text>
    </comment>
    <comment ref="C37" authorId="0">
      <text>
        <r>
          <rPr>
            <b/>
            <sz val="8"/>
            <rFont val="Tahoma"/>
            <family val="0"/>
          </rPr>
          <t>rjensen:</t>
        </r>
        <r>
          <rPr>
            <sz val="8"/>
            <rFont val="Tahoma"/>
            <family val="0"/>
          </rPr>
          <t xml:space="preserve">
Paragraph 49 of FAS 123 requires reporting of fully diluted EPS in addition to primary earnings per share.</t>
        </r>
      </text>
    </comment>
    <comment ref="C48" authorId="0">
      <text>
        <r>
          <rPr>
            <b/>
            <sz val="8"/>
            <rFont val="Tahoma"/>
            <family val="0"/>
          </rPr>
          <t>rjensen:</t>
        </r>
        <r>
          <rPr>
            <sz val="8"/>
            <rFont val="Tahoma"/>
            <family val="0"/>
          </rPr>
          <t xml:space="preserve">
Paragraph 49 of FAS 123 requires reporting of fully diluted EPS in addition to primary earnings per share.</t>
        </r>
      </text>
    </comment>
    <comment ref="C59" authorId="0">
      <text>
        <r>
          <rPr>
            <b/>
            <sz val="8"/>
            <rFont val="Tahoma"/>
            <family val="0"/>
          </rPr>
          <t>rjensen:</t>
        </r>
        <r>
          <rPr>
            <sz val="8"/>
            <rFont val="Tahoma"/>
            <family val="0"/>
          </rPr>
          <t xml:space="preserve">
Paragraph 49 of FAS 123 requires reporting of fully diluted EPS in addition to primary earnings per share.</t>
        </r>
      </text>
    </comment>
    <comment ref="C10" authorId="0">
      <text>
        <r>
          <rPr>
            <b/>
            <sz val="8"/>
            <rFont val="Tahoma"/>
            <family val="0"/>
          </rPr>
          <t>rjensen:</t>
        </r>
        <r>
          <rPr>
            <sz val="8"/>
            <rFont val="Tahoma"/>
            <family val="0"/>
          </rPr>
          <t xml:space="preserve">
Under exit value accounting, changes in asset liquidation values become current (unrealized) earnings.</t>
        </r>
      </text>
    </comment>
    <comment ref="C8" authorId="0">
      <text>
        <r>
          <rPr>
            <b/>
            <sz val="8"/>
            <rFont val="Tahoma"/>
            <family val="0"/>
          </rPr>
          <t>rjensen:</t>
        </r>
        <r>
          <rPr>
            <sz val="8"/>
            <rFont val="Tahoma"/>
            <family val="0"/>
          </rPr>
          <t xml:space="preserve">
Under exit value accounting, changes in asset liquidation values become current (unrealized) earnings.</t>
        </r>
      </text>
    </comment>
    <comment ref="B11" authorId="0">
      <text>
        <r>
          <rPr>
            <b/>
            <sz val="8"/>
            <rFont val="Tahoma"/>
            <family val="0"/>
          </rPr>
          <t>rjensen:</t>
        </r>
        <r>
          <rPr>
            <sz val="8"/>
            <rFont val="Tahoma"/>
            <family val="0"/>
          </rPr>
          <t xml:space="preserve">
The total labor outlay in cash is comprised of both increments to software and labor expense.</t>
        </r>
      </text>
    </comment>
  </commentList>
</comments>
</file>

<file path=xl/comments3.xml><?xml version="1.0" encoding="utf-8"?>
<comments xmlns="http://schemas.openxmlformats.org/spreadsheetml/2006/main">
  <authors>
    <author>rjensen</author>
    <author>Robert E. Jenson</author>
  </authors>
  <commentList>
    <comment ref="C51" authorId="0">
      <text>
        <r>
          <rPr>
            <b/>
            <sz val="8"/>
            <rFont val="Tahoma"/>
            <family val="0"/>
          </rPr>
          <t>rjensen:</t>
        </r>
        <r>
          <rPr>
            <sz val="8"/>
            <rFont val="Tahoma"/>
            <family val="0"/>
          </rPr>
          <t xml:space="preserve">
Paragraph 49 of FAS 123 requires reporting of fully diluted EPS in addition to primary earnings per share.</t>
        </r>
      </text>
    </comment>
    <comment ref="C65" authorId="0">
      <text>
        <r>
          <rPr>
            <b/>
            <sz val="8"/>
            <rFont val="Tahoma"/>
            <family val="0"/>
          </rPr>
          <t>rjensen:</t>
        </r>
        <r>
          <rPr>
            <sz val="8"/>
            <rFont val="Tahoma"/>
            <family val="0"/>
          </rPr>
          <t xml:space="preserve">
Paragraph 49 of FAS 123 requires reporting of fully diluted EPS in addition to primary earnings per share.</t>
        </r>
      </text>
    </comment>
    <comment ref="C79" authorId="0">
      <text>
        <r>
          <rPr>
            <b/>
            <sz val="8"/>
            <rFont val="Tahoma"/>
            <family val="0"/>
          </rPr>
          <t>rjensen:</t>
        </r>
        <r>
          <rPr>
            <sz val="8"/>
            <rFont val="Tahoma"/>
            <family val="0"/>
          </rPr>
          <t xml:space="preserve">
Paragraph 49 of FAS 123 requires reporting of fully diluted EPS in addition to primary earnings per share.</t>
        </r>
      </text>
    </comment>
    <comment ref="C93" authorId="0">
      <text>
        <r>
          <rPr>
            <b/>
            <sz val="8"/>
            <rFont val="Tahoma"/>
            <family val="0"/>
          </rPr>
          <t>rjensen:</t>
        </r>
        <r>
          <rPr>
            <sz val="8"/>
            <rFont val="Tahoma"/>
            <family val="0"/>
          </rPr>
          <t xml:space="preserve">
Paragraph 49 of FAS 123 requires reporting of fully diluted EPS in addition to primary earnings per share.</t>
        </r>
      </text>
    </comment>
    <comment ref="C101" authorId="1">
      <text>
        <r>
          <rPr>
            <b/>
            <sz val="8"/>
            <rFont val="Tahoma"/>
            <family val="0"/>
          </rPr>
          <t>Robert E. Jenson:</t>
        </r>
        <r>
          <rPr>
            <sz val="8"/>
            <rFont val="Tahoma"/>
            <family val="0"/>
          </rPr>
          <t xml:space="preserve">
After employee stock options are exercised, the reported income tax expense will be higher than the  income taxes paid in cash.  The "tax benefit difference" is to be charged to capital (actually Paid-in Capital) under Paragraphs 16 and 17 of APB No. 25.  </t>
        </r>
      </text>
    </comment>
    <comment ref="C104" authorId="1">
      <text>
        <r>
          <rPr>
            <b/>
            <sz val="8"/>
            <rFont val="Tahoma"/>
            <family val="0"/>
          </rPr>
          <t>Robert E. Jenson:</t>
        </r>
        <r>
          <rPr>
            <sz val="8"/>
            <rFont val="Tahoma"/>
            <family val="0"/>
          </rPr>
          <t xml:space="preserve">
After employee stock options are exercised, the reported income tax expense will be higher than the  income taxes paid in cash.  The "tax benefit difference" is to be charged to capital (actually Paid-in Capital) under Paragraphs 16 and 17 of APB No. 25.  </t>
        </r>
      </text>
    </comment>
    <comment ref="B185" authorId="1">
      <text>
        <r>
          <rPr>
            <b/>
            <sz val="8"/>
            <rFont val="Tahoma"/>
            <family val="0"/>
          </rPr>
          <t>Robert E. Jenson:</t>
        </r>
        <r>
          <rPr>
            <sz val="8"/>
            <rFont val="Tahoma"/>
            <family val="0"/>
          </rPr>
          <t xml:space="preserve">
This example has no interest expense to add on to dividends each year.</t>
        </r>
      </text>
    </comment>
    <comment ref="B176" authorId="1">
      <text>
        <r>
          <rPr>
            <b/>
            <sz val="8"/>
            <rFont val="Tahoma"/>
            <family val="0"/>
          </rPr>
          <t>Robert E. Jenson:</t>
        </r>
        <r>
          <rPr>
            <sz val="8"/>
            <rFont val="Tahoma"/>
            <family val="0"/>
          </rPr>
          <t xml:space="preserve">
See PHB textbook Page 11-5
See Taylor, Sanson, and Gupta Page 238</t>
        </r>
      </text>
    </comment>
    <comment ref="C185" authorId="1">
      <text>
        <r>
          <rPr>
            <b/>
            <sz val="8"/>
            <rFont val="Tahoma"/>
            <family val="0"/>
          </rPr>
          <t>Robert E. Jenson:</t>
        </r>
        <r>
          <rPr>
            <sz val="8"/>
            <rFont val="Tahoma"/>
            <family val="0"/>
          </rPr>
          <t xml:space="preserve">
This example has no interest expense to add on to dividends each year.</t>
        </r>
      </text>
    </comment>
    <comment ref="B186" authorId="1">
      <text>
        <r>
          <rPr>
            <b/>
            <sz val="8"/>
            <rFont val="Tahoma"/>
            <family val="0"/>
          </rPr>
          <t>Robert E. Jenson:</t>
        </r>
        <r>
          <rPr>
            <sz val="8"/>
            <rFont val="Tahoma"/>
            <family val="0"/>
          </rPr>
          <t xml:space="preserve">
This example has no interest expense to add on to dividends each year.</t>
        </r>
      </text>
    </comment>
    <comment ref="C186" authorId="1">
      <text>
        <r>
          <rPr>
            <b/>
            <sz val="8"/>
            <rFont val="Tahoma"/>
            <family val="0"/>
          </rPr>
          <t>Robert E. Jenson:</t>
        </r>
        <r>
          <rPr>
            <sz val="8"/>
            <rFont val="Tahoma"/>
            <family val="0"/>
          </rPr>
          <t xml:space="preserve">
This example has no interest expense to add on to dividends each year.</t>
        </r>
      </text>
    </comment>
    <comment ref="B187" authorId="1">
      <text>
        <r>
          <rPr>
            <b/>
            <sz val="8"/>
            <rFont val="Tahoma"/>
            <family val="0"/>
          </rPr>
          <t>Robert E. Jenson:</t>
        </r>
        <r>
          <rPr>
            <sz val="8"/>
            <rFont val="Tahoma"/>
            <family val="0"/>
          </rPr>
          <t xml:space="preserve">
This example has no interest expense to add on to dividends each year.</t>
        </r>
      </text>
    </comment>
    <comment ref="C187" authorId="1">
      <text>
        <r>
          <rPr>
            <b/>
            <sz val="8"/>
            <rFont val="Tahoma"/>
            <family val="0"/>
          </rPr>
          <t>Robert E. Jenson:</t>
        </r>
        <r>
          <rPr>
            <sz val="8"/>
            <rFont val="Tahoma"/>
            <family val="0"/>
          </rPr>
          <t xml:space="preserve">
This example has no interest expense to add on to dividends each year.</t>
        </r>
      </text>
    </comment>
    <comment ref="B188" authorId="1">
      <text>
        <r>
          <rPr>
            <b/>
            <sz val="8"/>
            <rFont val="Tahoma"/>
            <family val="0"/>
          </rPr>
          <t>Robert E. Jenson:</t>
        </r>
        <r>
          <rPr>
            <sz val="8"/>
            <rFont val="Tahoma"/>
            <family val="0"/>
          </rPr>
          <t xml:space="preserve">
This example has no interest expense to add on to dividends each year.</t>
        </r>
      </text>
    </comment>
    <comment ref="C188" authorId="1">
      <text>
        <r>
          <rPr>
            <b/>
            <sz val="8"/>
            <rFont val="Tahoma"/>
            <family val="0"/>
          </rPr>
          <t>Robert E. Jenson:</t>
        </r>
        <r>
          <rPr>
            <sz val="8"/>
            <rFont val="Tahoma"/>
            <family val="0"/>
          </rPr>
          <t xml:space="preserve">
This example has no interest expense to add on to dividends each year.</t>
        </r>
      </text>
    </comment>
    <comment ref="B189" authorId="1">
      <text>
        <r>
          <rPr>
            <b/>
            <sz val="8"/>
            <rFont val="Tahoma"/>
            <family val="0"/>
          </rPr>
          <t>Robert E. Jenson:</t>
        </r>
        <r>
          <rPr>
            <sz val="8"/>
            <rFont val="Tahoma"/>
            <family val="0"/>
          </rPr>
          <t xml:space="preserve">
This example has no interest expense to add on to dividends each year.</t>
        </r>
      </text>
    </comment>
    <comment ref="C189" authorId="1">
      <text>
        <r>
          <rPr>
            <b/>
            <sz val="8"/>
            <rFont val="Tahoma"/>
            <family val="0"/>
          </rPr>
          <t>Robert E. Jenson:</t>
        </r>
        <r>
          <rPr>
            <sz val="8"/>
            <rFont val="Tahoma"/>
            <family val="0"/>
          </rPr>
          <t xml:space="preserve">
This example has no interest expense to add on to dividends each year.</t>
        </r>
      </text>
    </comment>
    <comment ref="D147" authorId="0">
      <text>
        <r>
          <rPr>
            <b/>
            <sz val="8"/>
            <rFont val="Tahoma"/>
            <family val="0"/>
          </rPr>
          <t>Bob Jensen:</t>
        </r>
        <r>
          <rPr>
            <sz val="8"/>
            <rFont val="Tahoma"/>
            <family val="0"/>
          </rPr>
          <t xml:space="preserve">
The difference between the Discounted Cash Flow Model valuation versus the Residual Income (Abnormal Earnings) Model valuation arises because of an assumption in the RI model regarding "clean surplus."   The assumption of "clean surplus" requires that all non-capital equity transactions flow through the income statement.  
The $150,000 received from the exercising of ESOs does not violate the clean surplus assumption, because this is a capital transaction.
However, the ESO tax benefit violates the clean surplus assumption since this is an equity transaction is not a capital stock issuance and does not pass through the income statement under APB 25 accounting that debits cash for the benefit and credits Paid-In Capital rather than current earnings. </t>
        </r>
      </text>
    </comment>
    <comment ref="D104" authorId="1">
      <text>
        <r>
          <rPr>
            <b/>
            <sz val="8"/>
            <rFont val="Tahoma"/>
            <family val="0"/>
          </rPr>
          <t>Robert E. Jenson:</t>
        </r>
        <r>
          <rPr>
            <sz val="8"/>
            <rFont val="Tahoma"/>
            <family val="0"/>
          </rPr>
          <t xml:space="preserve">
After employee stock options are exercised, the reported income tax expense will be higher than the  income taxes paid in cash.  The "tax benefit difference" is to be charged to capital (actually Paid-in Capital) under Paragraphs 16 and 17 of APB No. 25.  </t>
        </r>
      </text>
    </comment>
    <comment ref="E147" authorId="0">
      <text>
        <r>
          <rPr>
            <b/>
            <sz val="8"/>
            <rFont val="Tahoma"/>
            <family val="0"/>
          </rPr>
          <t>Bob Jensen:</t>
        </r>
        <r>
          <rPr>
            <sz val="8"/>
            <rFont val="Tahoma"/>
            <family val="0"/>
          </rPr>
          <t xml:space="preserve">
The difference between the Discounted Cash Flow Model valuation versus the Residual Income (Abnormal Earnings) Model valuation arises because of an assumption in the RI model regarding "clean surplus."   The assumption of "clean surplus" requires that all non-capital equity transactions flow through the income statement.  
The $150,000 received from the exercising of ESOs does not violate the clean surplus assumption, because this is a capital transaction.
However, the ESO tax benefit violates the clean surplus assumption since this is an equity transaction is not a capital stock issuance and does not pass through the income statement under APB 25 accounting that debits cash for the benefit and credits Paid-In Capital rather than current earnings. </t>
        </r>
      </text>
    </comment>
  </commentList>
</comments>
</file>

<file path=xl/comments4.xml><?xml version="1.0" encoding="utf-8"?>
<comments xmlns="http://schemas.openxmlformats.org/spreadsheetml/2006/main">
  <authors>
    <author>rjensen</author>
    <author>Robert E. Jenson</author>
  </authors>
  <commentList>
    <comment ref="C51" authorId="0">
      <text>
        <r>
          <rPr>
            <b/>
            <sz val="8"/>
            <rFont val="Tahoma"/>
            <family val="0"/>
          </rPr>
          <t>rjensen:</t>
        </r>
        <r>
          <rPr>
            <sz val="8"/>
            <rFont val="Tahoma"/>
            <family val="0"/>
          </rPr>
          <t xml:space="preserve">
Paragraph 49 of FAS 123 requires reporting of fully diluted EPS in addition to primary earnings per share.</t>
        </r>
      </text>
    </comment>
    <comment ref="C65" authorId="0">
      <text>
        <r>
          <rPr>
            <b/>
            <sz val="8"/>
            <rFont val="Tahoma"/>
            <family val="0"/>
          </rPr>
          <t>rjensen:</t>
        </r>
        <r>
          <rPr>
            <sz val="8"/>
            <rFont val="Tahoma"/>
            <family val="0"/>
          </rPr>
          <t xml:space="preserve">
Paragraph 49 of FAS 123 requires reporting of fully diluted EPS in addition to primary earnings per share.</t>
        </r>
      </text>
    </comment>
    <comment ref="C79" authorId="0">
      <text>
        <r>
          <rPr>
            <b/>
            <sz val="8"/>
            <rFont val="Tahoma"/>
            <family val="0"/>
          </rPr>
          <t>rjensen:</t>
        </r>
        <r>
          <rPr>
            <sz val="8"/>
            <rFont val="Tahoma"/>
            <family val="0"/>
          </rPr>
          <t xml:space="preserve">
Paragraph 49 of FAS 123 requires reporting of fully diluted EPS in addition to primary earnings per share.</t>
        </r>
      </text>
    </comment>
    <comment ref="C93" authorId="0">
      <text>
        <r>
          <rPr>
            <b/>
            <sz val="8"/>
            <rFont val="Tahoma"/>
            <family val="0"/>
          </rPr>
          <t>rjensen:</t>
        </r>
        <r>
          <rPr>
            <sz val="8"/>
            <rFont val="Tahoma"/>
            <family val="0"/>
          </rPr>
          <t xml:space="preserve">
Paragraph 49 of FAS 123 requires reporting of fully diluted EPS in addition to primary earnings per share.</t>
        </r>
      </text>
    </comment>
    <comment ref="B176" authorId="1">
      <text>
        <r>
          <rPr>
            <b/>
            <sz val="8"/>
            <rFont val="Tahoma"/>
            <family val="0"/>
          </rPr>
          <t>Robert E. Jenson:</t>
        </r>
        <r>
          <rPr>
            <sz val="8"/>
            <rFont val="Tahoma"/>
            <family val="0"/>
          </rPr>
          <t xml:space="preserve">
See PHB textbook Page 11-5
See Taylor, Sanson, and Gupta Page 238</t>
        </r>
      </text>
    </comment>
    <comment ref="B185" authorId="1">
      <text>
        <r>
          <rPr>
            <b/>
            <sz val="8"/>
            <rFont val="Tahoma"/>
            <family val="0"/>
          </rPr>
          <t>Robert E. Jenson:</t>
        </r>
        <r>
          <rPr>
            <sz val="8"/>
            <rFont val="Tahoma"/>
            <family val="0"/>
          </rPr>
          <t xml:space="preserve">
This example has no interest expense to add on to dividends each year.</t>
        </r>
      </text>
    </comment>
    <comment ref="C185" authorId="1">
      <text>
        <r>
          <rPr>
            <b/>
            <sz val="8"/>
            <rFont val="Tahoma"/>
            <family val="0"/>
          </rPr>
          <t>Robert E. Jenson:</t>
        </r>
        <r>
          <rPr>
            <sz val="8"/>
            <rFont val="Tahoma"/>
            <family val="0"/>
          </rPr>
          <t xml:space="preserve">
This example has no interest expense to add on to dividends each year.</t>
        </r>
      </text>
    </comment>
    <comment ref="B186" authorId="1">
      <text>
        <r>
          <rPr>
            <b/>
            <sz val="8"/>
            <rFont val="Tahoma"/>
            <family val="0"/>
          </rPr>
          <t>Robert E. Jenson:</t>
        </r>
        <r>
          <rPr>
            <sz val="8"/>
            <rFont val="Tahoma"/>
            <family val="0"/>
          </rPr>
          <t xml:space="preserve">
This example has no interest expense to add on to dividends each year.</t>
        </r>
      </text>
    </comment>
    <comment ref="C186" authorId="1">
      <text>
        <r>
          <rPr>
            <b/>
            <sz val="8"/>
            <rFont val="Tahoma"/>
            <family val="0"/>
          </rPr>
          <t>Robert E. Jenson:</t>
        </r>
        <r>
          <rPr>
            <sz val="8"/>
            <rFont val="Tahoma"/>
            <family val="0"/>
          </rPr>
          <t xml:space="preserve">
This example has no interest expense to add on to dividends each year.</t>
        </r>
      </text>
    </comment>
    <comment ref="B187" authorId="1">
      <text>
        <r>
          <rPr>
            <b/>
            <sz val="8"/>
            <rFont val="Tahoma"/>
            <family val="0"/>
          </rPr>
          <t>Robert E. Jenson:</t>
        </r>
        <r>
          <rPr>
            <sz val="8"/>
            <rFont val="Tahoma"/>
            <family val="0"/>
          </rPr>
          <t xml:space="preserve">
This example has no interest expense to add on to dividends each year.</t>
        </r>
      </text>
    </comment>
    <comment ref="C187" authorId="1">
      <text>
        <r>
          <rPr>
            <b/>
            <sz val="8"/>
            <rFont val="Tahoma"/>
            <family val="0"/>
          </rPr>
          <t>Robert E. Jenson:</t>
        </r>
        <r>
          <rPr>
            <sz val="8"/>
            <rFont val="Tahoma"/>
            <family val="0"/>
          </rPr>
          <t xml:space="preserve">
This example has no interest expense to add on to dividends each year.</t>
        </r>
      </text>
    </comment>
    <comment ref="B188" authorId="1">
      <text>
        <r>
          <rPr>
            <b/>
            <sz val="8"/>
            <rFont val="Tahoma"/>
            <family val="0"/>
          </rPr>
          <t>Robert E. Jenson:</t>
        </r>
        <r>
          <rPr>
            <sz val="8"/>
            <rFont val="Tahoma"/>
            <family val="0"/>
          </rPr>
          <t xml:space="preserve">
This example has no interest expense to add on to dividends each year.</t>
        </r>
      </text>
    </comment>
    <comment ref="C188" authorId="1">
      <text>
        <r>
          <rPr>
            <b/>
            <sz val="8"/>
            <rFont val="Tahoma"/>
            <family val="0"/>
          </rPr>
          <t>Robert E. Jenson:</t>
        </r>
        <r>
          <rPr>
            <sz val="8"/>
            <rFont val="Tahoma"/>
            <family val="0"/>
          </rPr>
          <t xml:space="preserve">
This example has no interest expense to add on to dividends each year.</t>
        </r>
      </text>
    </comment>
    <comment ref="B189" authorId="1">
      <text>
        <r>
          <rPr>
            <b/>
            <sz val="8"/>
            <rFont val="Tahoma"/>
            <family val="0"/>
          </rPr>
          <t>Robert E. Jenson:</t>
        </r>
        <r>
          <rPr>
            <sz val="8"/>
            <rFont val="Tahoma"/>
            <family val="0"/>
          </rPr>
          <t xml:space="preserve">
This example has no interest expense to add on to dividends each year.</t>
        </r>
      </text>
    </comment>
    <comment ref="C189" authorId="1">
      <text>
        <r>
          <rPr>
            <b/>
            <sz val="8"/>
            <rFont val="Tahoma"/>
            <family val="0"/>
          </rPr>
          <t>Robert E. Jenson:</t>
        </r>
        <r>
          <rPr>
            <sz val="8"/>
            <rFont val="Tahoma"/>
            <family val="0"/>
          </rPr>
          <t xml:space="preserve">
This example has no interest expense to add on to dividends each year.</t>
        </r>
      </text>
    </comment>
  </commentList>
</comments>
</file>

<file path=xl/sharedStrings.xml><?xml version="1.0" encoding="utf-8"?>
<sst xmlns="http://schemas.openxmlformats.org/spreadsheetml/2006/main" count="607" uniqueCount="129">
  <si>
    <t xml:space="preserve">Schuetze and FASB’s  </t>
  </si>
  <si>
    <t>FAS 123 Accounting</t>
  </si>
  <si>
    <t>Year 1</t>
  </si>
  <si>
    <t>Nobel Cash Company</t>
  </si>
  <si>
    <t>Nobel Option Company</t>
  </si>
  <si>
    <t>Revenue</t>
  </si>
  <si>
    <t>Labor expense</t>
  </si>
  <si>
    <t>Net profit</t>
  </si>
  <si>
    <t>Cash</t>
  </si>
  <si>
    <t>Capital</t>
  </si>
  <si>
    <t>Retained earnings</t>
  </si>
  <si>
    <t>Earnings Per Share</t>
  </si>
  <si>
    <t>Income tax expense</t>
  </si>
  <si>
    <t>Net profit before income tax (NBOT)</t>
  </si>
  <si>
    <t>Number of shares</t>
  </si>
  <si>
    <t>Time</t>
  </si>
  <si>
    <t>Value of outstanding employee options</t>
  </si>
  <si>
    <t>Year 2</t>
  </si>
  <si>
    <t>Year 3</t>
  </si>
  <si>
    <t>Year 4</t>
  </si>
  <si>
    <t>Intrinsic</t>
  </si>
  <si>
    <t xml:space="preserve"> </t>
  </si>
  <si>
    <t xml:space="preserve">     Option Value</t>
  </si>
  <si>
    <t>Year 5 After Exercise of Options</t>
  </si>
  <si>
    <t>Value of options before exercised</t>
  </si>
  <si>
    <t>Value of options after exercised</t>
  </si>
  <si>
    <t xml:space="preserve">Appendix B Cash With Taxes = </t>
  </si>
  <si>
    <t xml:space="preserve">Appendix B Capital With Taxes = </t>
  </si>
  <si>
    <r>
      <t>Nobel Option Reconciliation of</t>
    </r>
    <r>
      <rPr>
        <b/>
        <sz val="10"/>
        <color indexed="10"/>
        <rFont val="Arial"/>
        <family val="2"/>
      </rPr>
      <t xml:space="preserve"> Cash</t>
    </r>
    <r>
      <rPr>
        <sz val="10"/>
        <rFont val="Arial"/>
        <family val="0"/>
      </rPr>
      <t xml:space="preserve"> in Year 5</t>
    </r>
  </si>
  <si>
    <r>
      <t xml:space="preserve">Nobel Option Reconciliation of </t>
    </r>
    <r>
      <rPr>
        <b/>
        <sz val="10"/>
        <color indexed="10"/>
        <rFont val="Arial"/>
        <family val="2"/>
      </rPr>
      <t>Capital</t>
    </r>
    <r>
      <rPr>
        <sz val="10"/>
        <rFont val="Arial"/>
        <family val="0"/>
      </rPr>
      <t xml:space="preserve"> in Year 5</t>
    </r>
  </si>
  <si>
    <r>
      <t>Nobel Option Reconciliation of</t>
    </r>
    <r>
      <rPr>
        <b/>
        <sz val="10"/>
        <color indexed="10"/>
        <rFont val="Arial"/>
        <family val="2"/>
      </rPr>
      <t xml:space="preserve"> Retained Earnings</t>
    </r>
    <r>
      <rPr>
        <sz val="10"/>
        <rFont val="Arial"/>
        <family val="0"/>
      </rPr>
      <t xml:space="preserve"> in Year 5</t>
    </r>
  </si>
  <si>
    <t xml:space="preserve">Appendix B Retained Earnings With Taxes = </t>
  </si>
  <si>
    <t>Book Value Per Share</t>
  </si>
  <si>
    <t>company has neither a tax refund nor a tax loss carry-forward.  If the</t>
  </si>
  <si>
    <t>Comment:  Normally the tax payable exceeds the tax overstatement</t>
  </si>
  <si>
    <t>due to ESO benefits.  If not, this example assumes that the</t>
  </si>
  <si>
    <t xml:space="preserve">ESO tax benefit exceeds the Income Tax Expense account, the credit </t>
  </si>
  <si>
    <t xml:space="preserve">to the Capital account for the ESO tax benefit is limited to the Income </t>
  </si>
  <si>
    <t>Tax Expense value before deducting the ESO tax benefit.</t>
  </si>
  <si>
    <t>ESOs = Employee Stock Options</t>
  </si>
  <si>
    <t>ESO Tax Benefit = (Tax Rate)(ESO Intrinisic Value on Settlement Date of ESO Exercise)</t>
  </si>
  <si>
    <t>Income Tax Expense = Income Tax Before Deducting ESO Tax Benefit</t>
  </si>
  <si>
    <t>Income Tax Payable =  Income Tax Expense - ESO Benefit if Income Tax Expense Exceeds the benefit</t>
  </si>
  <si>
    <t xml:space="preserve">     Comment:  Normally the tax payable exceeds the tax overstatement</t>
  </si>
  <si>
    <t xml:space="preserve">     due to ESO benefits.  If not, this example assumes that the</t>
  </si>
  <si>
    <t xml:space="preserve">     company has neither a tax refund nor a tax loss carry-forward.  If the</t>
  </si>
  <si>
    <t xml:space="preserve">     ESO tax benefit exceeds the Income Tax Expense account, the credit </t>
  </si>
  <si>
    <t xml:space="preserve">     to the Capital account for the ESO tax benefit is limited to the Income </t>
  </si>
  <si>
    <t xml:space="preserve">     Tax Expense value before deducting the ESO tax benefit.</t>
  </si>
  <si>
    <t>Michelle Hanlon and Terry Shevlin, "Accounting for Tax Benefits of Employee Stock Options and Implications</t>
  </si>
  <si>
    <r>
      <t xml:space="preserve">for Research" </t>
    </r>
    <r>
      <rPr>
        <i/>
        <sz val="10"/>
        <rFont val="Arial"/>
        <family val="2"/>
      </rPr>
      <t>Accounting Horizons</t>
    </r>
    <r>
      <rPr>
        <sz val="10"/>
        <rFont val="Arial"/>
        <family val="0"/>
      </rPr>
      <t>, Vol. 16, No. 1, March 2002, pp. 1-16.</t>
    </r>
  </si>
  <si>
    <t>ESOs may not be exercised until year =</t>
  </si>
  <si>
    <t>Shares outstanding before ESOs =</t>
  </si>
  <si>
    <t>Suggested Reading:</t>
  </si>
  <si>
    <t xml:space="preserve">Less Income Taxes Payable paid in cash = </t>
  </si>
  <si>
    <t xml:space="preserve">Less Income Tax Expense in financial statements = </t>
  </si>
  <si>
    <t>ESOs share number =</t>
  </si>
  <si>
    <t>ESOs strike price =</t>
  </si>
  <si>
    <t>Nobel Option Company Parameters</t>
  </si>
  <si>
    <t>Year</t>
  </si>
  <si>
    <t>ESOs Intrinsic Value</t>
  </si>
  <si>
    <t>ESOs Time Value</t>
  </si>
  <si>
    <t>APB 25 Accounting</t>
  </si>
  <si>
    <t xml:space="preserve">Additional paid-in capital from ESO tax benefit = </t>
  </si>
  <si>
    <t>Income tax refund allowed in any year =</t>
  </si>
  <si>
    <t>Income tax loss carry-forward allowed =</t>
  </si>
  <si>
    <t>Simplifying Assumptions</t>
  </si>
  <si>
    <t>Income tax rate =</t>
  </si>
  <si>
    <t xml:space="preserve">FASB’s  </t>
  </si>
  <si>
    <t>The Capital account contains both the Common Stock and Paid-in Capital amounts.</t>
  </si>
  <si>
    <t>Free Cash Flow Valuation</t>
  </si>
  <si>
    <t xml:space="preserve">Cost of Capital = </t>
  </si>
  <si>
    <t>FCF(t)</t>
  </si>
  <si>
    <t>Year t</t>
  </si>
  <si>
    <t xml:space="preserve">FCF Estimated Value of Firm at Time 0 </t>
  </si>
  <si>
    <t xml:space="preserve">FCF Est. Value Per Share at Time 0 </t>
  </si>
  <si>
    <t>NAME _________________________</t>
  </si>
  <si>
    <t>Residual Income Valuation</t>
  </si>
  <si>
    <t xml:space="preserve">RI Estimated Value of Firm at Time 0 </t>
  </si>
  <si>
    <t xml:space="preserve">RI Est. Value Per Share at Time 0 </t>
  </si>
  <si>
    <t xml:space="preserve">Cost of Capital = r = </t>
  </si>
  <si>
    <t>Book Value (0)</t>
  </si>
  <si>
    <t>Net Profit (t)-(r)(Book Value (t-1))</t>
  </si>
  <si>
    <t>ESO New Equity Investment in Year 5 =</t>
  </si>
  <si>
    <t xml:space="preserve"> = Abnormal Earnings</t>
  </si>
  <si>
    <t xml:space="preserve"> = New Share Investment</t>
  </si>
  <si>
    <t xml:space="preserve">Dividend Est. Value of Firm at Time 0 </t>
  </si>
  <si>
    <t xml:space="preserve">Dividend Est. Value Per Share at Time 0 </t>
  </si>
  <si>
    <t>Dividend Cash Flow Valuation</t>
  </si>
  <si>
    <t>Option Value Components</t>
  </si>
  <si>
    <r>
      <t xml:space="preserve">APPENDIX B                    </t>
    </r>
    <r>
      <rPr>
        <b/>
        <sz val="10"/>
        <color indexed="10"/>
        <rFont val="Arial"/>
        <family val="2"/>
      </rPr>
      <t xml:space="preserve"> Tax Rate = </t>
    </r>
  </si>
  <si>
    <t xml:space="preserve"> = Value in Cell B1</t>
  </si>
  <si>
    <t xml:space="preserve"> = Return on Idle Cash</t>
  </si>
  <si>
    <t xml:space="preserve">NPV = </t>
  </si>
  <si>
    <t>Residual Income Model Valuation</t>
  </si>
  <si>
    <t>FCF Flow Valuation</t>
  </si>
  <si>
    <t>Dividend Cash Flows</t>
  </si>
  <si>
    <t>Initial Investment and Net Profits</t>
  </si>
  <si>
    <t>Divident Payout =</t>
  </si>
  <si>
    <t>as a percent of net income</t>
  </si>
  <si>
    <t>Interest revenue</t>
  </si>
  <si>
    <t>Operating  revenue</t>
  </si>
  <si>
    <t xml:space="preserve">Interest revenue = </t>
  </si>
  <si>
    <t xml:space="preserve">Appendix A Retained Earnings without interest and taxes = </t>
  </si>
  <si>
    <t xml:space="preserve">Appendix A Cash without interest and taxes = </t>
  </si>
  <si>
    <t xml:space="preserve">Appendix A Capital without taxes = </t>
  </si>
  <si>
    <t>Walter Schuetze’s Accounting Models</t>
  </si>
  <si>
    <t xml:space="preserve">Accounting Under Both FASB and </t>
  </si>
  <si>
    <t>APPENDIX A</t>
  </si>
  <si>
    <t>Labor Expense</t>
  </si>
  <si>
    <t>Retained Earnings</t>
  </si>
  <si>
    <t>Year 5 Before Options Are Exercised</t>
  </si>
  <si>
    <t>Year 5 After Options Are Exercised</t>
  </si>
  <si>
    <t xml:space="preserve">Book Value Per Share = </t>
  </si>
  <si>
    <t xml:space="preserve">Number of Shares Outstanding = </t>
  </si>
  <si>
    <t xml:space="preserve">Earnings Per Share = </t>
  </si>
  <si>
    <t>Dividend Payout =</t>
  </si>
  <si>
    <t>ESO Tax Benefit = (Tax Rate)(ESO Intrinsic Value on Settlement Date of ESO Exercise)</t>
  </si>
  <si>
    <t>= ESO Tax Benefit</t>
  </si>
  <si>
    <t>Difference Between Valuation Models</t>
  </si>
  <si>
    <t>= PV of ESO Tax Benefit</t>
  </si>
  <si>
    <t>= FV of ESO Tax Benefit</t>
  </si>
  <si>
    <t>APPENDIX B</t>
  </si>
  <si>
    <t>Suppose that half the labor time is devoted to revenue generation and half the labor time</t>
  </si>
  <si>
    <t>is devoted to software development that can be capitalized under FAS 86.</t>
  </si>
  <si>
    <t>Schuetze Exit Value</t>
  </si>
  <si>
    <t>Accounting</t>
  </si>
  <si>
    <t xml:space="preserve">Historical Cost and </t>
  </si>
  <si>
    <t>Software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</si>
</sst>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Red]\(&quot;$&quot;#,##0.0\)"/>
    <numFmt numFmtId="165" formatCode="&quot;$&quot;#,##0.0000_);[Red]\(&quot;$&quot;#,##0.0000\)"/>
    <numFmt numFmtId="166" formatCode="0.000%"/>
    <numFmt numFmtId="167" formatCode="0.0000%"/>
    <numFmt numFmtId="168" formatCode="&quot;$&quot;#,##0"/>
    <numFmt numFmtId="169" formatCode="0.0000000"/>
    <numFmt numFmtId="170" formatCode="0.000000"/>
    <numFmt numFmtId="171" formatCode="0.00000"/>
    <numFmt numFmtId="172" formatCode="0.0000"/>
    <numFmt numFmtId="173" formatCode="0.000"/>
  </numFmts>
  <fonts count="10">
    <font>
      <sz val="10"/>
      <name val="Arial"/>
      <family val="0"/>
    </font>
    <font>
      <b/>
      <sz val="10"/>
      <name val="Arial"/>
      <family val="2"/>
    </font>
    <font>
      <b/>
      <sz val="10"/>
      <color indexed="10"/>
      <name val="Arial"/>
      <family val="2"/>
    </font>
    <font>
      <sz val="8"/>
      <name val="Tahoma"/>
      <family val="0"/>
    </font>
    <font>
      <b/>
      <sz val="8"/>
      <name val="Tahoma"/>
      <family val="0"/>
    </font>
    <font>
      <i/>
      <sz val="10"/>
      <name val="Arial"/>
      <family val="2"/>
    </font>
    <font>
      <u val="single"/>
      <sz val="10"/>
      <color indexed="12"/>
      <name val="Arial"/>
      <family val="0"/>
    </font>
    <font>
      <u val="single"/>
      <sz val="10"/>
      <color indexed="36"/>
      <name val="Arial"/>
      <family val="0"/>
    </font>
    <font>
      <sz val="10"/>
      <color indexed="43"/>
      <name val="Arial"/>
      <family val="2"/>
    </font>
    <font>
      <b/>
      <sz val="8"/>
      <name val="Arial"/>
      <family val="2"/>
    </font>
  </fonts>
  <fills count="7">
    <fill>
      <patternFill/>
    </fill>
    <fill>
      <patternFill patternType="gray125"/>
    </fill>
    <fill>
      <patternFill patternType="solid">
        <fgColor indexed="53"/>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14"/>
        <bgColor indexed="64"/>
      </patternFill>
    </fill>
  </fills>
  <borders count="29">
    <border>
      <left/>
      <right/>
      <top/>
      <bottom/>
      <diagonal/>
    </border>
    <border>
      <left>
        <color indexed="63"/>
      </left>
      <right>
        <color indexed="63"/>
      </right>
      <top>
        <color indexed="63"/>
      </top>
      <bottom style="thick"/>
    </border>
    <border>
      <left style="thick"/>
      <right style="thin"/>
      <top style="thick"/>
      <bottom>
        <color indexed="63"/>
      </bottom>
    </border>
    <border>
      <left style="thin"/>
      <right style="thin"/>
      <top style="thick"/>
      <bottom>
        <color indexed="63"/>
      </bottom>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ck"/>
      <right style="thin"/>
      <top style="thick"/>
      <bottom style="thick"/>
    </border>
    <border>
      <left>
        <color indexed="63"/>
      </left>
      <right>
        <color indexed="63"/>
      </right>
      <top style="thick"/>
      <bottom>
        <color indexed="63"/>
      </bottom>
    </border>
    <border>
      <left style="thin"/>
      <right>
        <color indexed="63"/>
      </right>
      <top>
        <color indexed="63"/>
      </top>
      <bottom style="thick"/>
    </border>
    <border>
      <left style="thin"/>
      <right>
        <color indexed="63"/>
      </right>
      <top style="thick"/>
      <bottom style="thick"/>
    </border>
    <border>
      <left style="thick"/>
      <right style="thin"/>
      <top>
        <color indexed="63"/>
      </top>
      <bottom>
        <color indexed="63"/>
      </bottom>
    </border>
    <border>
      <left style="thin"/>
      <right style="thick"/>
      <top>
        <color indexed="63"/>
      </top>
      <bottom>
        <color indexed="63"/>
      </bottom>
    </border>
    <border>
      <left style="thin"/>
      <right style="thick"/>
      <top style="thick"/>
      <bottom>
        <color indexed="63"/>
      </bottom>
    </border>
    <border>
      <left style="thick"/>
      <right>
        <color indexed="63"/>
      </right>
      <top>
        <color indexed="63"/>
      </top>
      <bottom>
        <color indexed="63"/>
      </bottom>
    </border>
    <border>
      <left>
        <color indexed="63"/>
      </left>
      <right style="thick"/>
      <top style="thick"/>
      <bottom style="thick"/>
    </border>
    <border>
      <left style="thick"/>
      <right>
        <color indexed="63"/>
      </right>
      <top style="thick"/>
      <bottom style="thick"/>
    </border>
    <border>
      <left style="thin"/>
      <right style="thick"/>
      <top style="thick"/>
      <bottom style="thick"/>
    </border>
    <border>
      <left style="thick"/>
      <right>
        <color indexed="63"/>
      </right>
      <top style="thick"/>
      <bottom>
        <color indexed="63"/>
      </bottom>
    </border>
    <border>
      <left style="thick"/>
      <right>
        <color indexed="63"/>
      </right>
      <top>
        <color indexed="63"/>
      </top>
      <bottom style="thick"/>
    </border>
    <border>
      <left>
        <color indexed="63"/>
      </left>
      <right style="thick"/>
      <top style="thick"/>
      <bottom>
        <color indexed="63"/>
      </bottom>
    </border>
    <border>
      <left>
        <color indexed="63"/>
      </left>
      <right style="thick"/>
      <top>
        <color indexed="63"/>
      </top>
      <bottom style="thick"/>
    </border>
    <border>
      <left style="thick"/>
      <right style="thick"/>
      <top style="thick"/>
      <bottom style="thick"/>
    </border>
    <border>
      <left style="thin"/>
      <right>
        <color indexed="63"/>
      </right>
      <top style="thick"/>
      <bottom>
        <color indexed="63"/>
      </bottom>
    </border>
    <border>
      <left style="thick"/>
      <right style="thick"/>
      <top>
        <color indexed="63"/>
      </top>
      <bottom style="thick"/>
    </border>
    <border>
      <left style="thick"/>
      <right style="thick"/>
      <top>
        <color indexed="63"/>
      </top>
      <bottom>
        <color indexed="63"/>
      </bottom>
    </border>
    <border>
      <left>
        <color indexed="63"/>
      </left>
      <right style="thick"/>
      <top>
        <color indexed="63"/>
      </top>
      <bottom>
        <color indexed="63"/>
      </bottom>
    </border>
    <border>
      <left>
        <color indexed="63"/>
      </left>
      <right>
        <color indexed="63"/>
      </right>
      <top style="thick"/>
      <bottom style="thick"/>
    </border>
    <border>
      <left>
        <color indexed="63"/>
      </left>
      <right style="thin"/>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0">
    <xf numFmtId="0" fontId="0" fillId="0" borderId="0" xfId="0" applyAlignment="1">
      <alignment/>
    </xf>
    <xf numFmtId="0" fontId="0" fillId="0" borderId="0" xfId="0" applyAlignment="1">
      <alignment horizontal="right"/>
    </xf>
    <xf numFmtId="6" fontId="0" fillId="0" borderId="0" xfId="0" applyNumberFormat="1" applyAlignment="1">
      <alignment/>
    </xf>
    <xf numFmtId="6" fontId="0" fillId="0" borderId="0" xfId="0" applyNumberFormat="1" applyAlignment="1">
      <alignment horizontal="right"/>
    </xf>
    <xf numFmtId="6" fontId="0" fillId="0" borderId="1" xfId="0" applyNumberFormat="1" applyBorder="1" applyAlignment="1">
      <alignment horizontal="right"/>
    </xf>
    <xf numFmtId="6" fontId="0" fillId="0" borderId="1" xfId="0" applyNumberFormat="1" applyFont="1" applyBorder="1" applyAlignment="1">
      <alignment horizontal="right"/>
    </xf>
    <xf numFmtId="0" fontId="0" fillId="0" borderId="2" xfId="0" applyBorder="1" applyAlignment="1">
      <alignment horizontal="center" wrapText="1"/>
    </xf>
    <xf numFmtId="6" fontId="0" fillId="0" borderId="3" xfId="0" applyNumberFormat="1" applyBorder="1" applyAlignment="1">
      <alignment/>
    </xf>
    <xf numFmtId="0" fontId="0" fillId="0" borderId="4" xfId="0" applyBorder="1" applyAlignment="1">
      <alignment/>
    </xf>
    <xf numFmtId="6" fontId="0" fillId="0" borderId="5" xfId="0" applyNumberFormat="1" applyBorder="1" applyAlignment="1">
      <alignment horizontal="center"/>
    </xf>
    <xf numFmtId="6" fontId="0" fillId="0" borderId="6" xfId="0" applyNumberFormat="1" applyBorder="1" applyAlignment="1">
      <alignment horizontal="center"/>
    </xf>
    <xf numFmtId="6" fontId="1" fillId="0" borderId="7" xfId="0" applyNumberFormat="1" applyFont="1" applyBorder="1" applyAlignment="1">
      <alignment/>
    </xf>
    <xf numFmtId="8" fontId="0" fillId="0" borderId="1" xfId="0" applyNumberFormat="1" applyBorder="1" applyAlignment="1">
      <alignment horizontal="right"/>
    </xf>
    <xf numFmtId="6" fontId="0" fillId="0" borderId="8" xfId="0" applyNumberFormat="1" applyFont="1" applyBorder="1" applyAlignment="1">
      <alignment horizontal="right"/>
    </xf>
    <xf numFmtId="10" fontId="0" fillId="0" borderId="0" xfId="0" applyNumberFormat="1" applyAlignment="1">
      <alignment horizontal="left"/>
    </xf>
    <xf numFmtId="38" fontId="0" fillId="0" borderId="1" xfId="0" applyNumberFormat="1" applyBorder="1" applyAlignment="1">
      <alignment horizontal="right"/>
    </xf>
    <xf numFmtId="6" fontId="0" fillId="0" borderId="9" xfId="0" applyNumberFormat="1" applyBorder="1" applyAlignment="1">
      <alignment horizontal="center"/>
    </xf>
    <xf numFmtId="6" fontId="1" fillId="0" borderId="10" xfId="0" applyNumberFormat="1" applyFont="1" applyBorder="1" applyAlignment="1">
      <alignment/>
    </xf>
    <xf numFmtId="6" fontId="0" fillId="0" borderId="11" xfId="0" applyNumberFormat="1" applyBorder="1" applyAlignment="1">
      <alignment horizontal="center"/>
    </xf>
    <xf numFmtId="6" fontId="0" fillId="0" borderId="12" xfId="0" applyNumberFormat="1" applyBorder="1" applyAlignment="1">
      <alignment horizontal="center"/>
    </xf>
    <xf numFmtId="6" fontId="0" fillId="0" borderId="4" xfId="0" applyNumberFormat="1" applyBorder="1" applyAlignment="1">
      <alignment horizontal="center"/>
    </xf>
    <xf numFmtId="0" fontId="0" fillId="2" borderId="0" xfId="0" applyFill="1" applyAlignment="1">
      <alignment/>
    </xf>
    <xf numFmtId="6" fontId="0" fillId="0" borderId="4" xfId="0" applyNumberFormat="1" applyBorder="1" applyAlignment="1">
      <alignment horizontal="right"/>
    </xf>
    <xf numFmtId="6" fontId="0" fillId="0" borderId="6" xfId="0" applyNumberFormat="1" applyBorder="1" applyAlignment="1">
      <alignment horizontal="right"/>
    </xf>
    <xf numFmtId="6" fontId="0" fillId="2" borderId="0" xfId="0" applyNumberFormat="1" applyFill="1" applyAlignment="1">
      <alignment horizontal="right"/>
    </xf>
    <xf numFmtId="6" fontId="0" fillId="0" borderId="2" xfId="0" applyNumberFormat="1" applyBorder="1" applyAlignment="1">
      <alignment horizontal="center"/>
    </xf>
    <xf numFmtId="6" fontId="0" fillId="0" borderId="13" xfId="0" applyNumberFormat="1" applyBorder="1" applyAlignment="1">
      <alignment horizontal="center"/>
    </xf>
    <xf numFmtId="6" fontId="0" fillId="0" borderId="14" xfId="0" applyNumberFormat="1" applyBorder="1" applyAlignment="1">
      <alignment horizontal="right"/>
    </xf>
    <xf numFmtId="6" fontId="0" fillId="0" borderId="0" xfId="0" applyNumberFormat="1" applyBorder="1" applyAlignment="1">
      <alignment horizontal="right"/>
    </xf>
    <xf numFmtId="6" fontId="0" fillId="0" borderId="15" xfId="0" applyNumberFormat="1" applyBorder="1" applyAlignment="1">
      <alignment horizontal="right"/>
    </xf>
    <xf numFmtId="6" fontId="0" fillId="0" borderId="16" xfId="0" applyNumberFormat="1" applyBorder="1" applyAlignment="1">
      <alignment horizontal="left"/>
    </xf>
    <xf numFmtId="6" fontId="0" fillId="0" borderId="7" xfId="0" applyNumberFormat="1" applyBorder="1" applyAlignment="1">
      <alignment horizontal="center"/>
    </xf>
    <xf numFmtId="6" fontId="0" fillId="0" borderId="17" xfId="0" applyNumberFormat="1" applyBorder="1" applyAlignment="1">
      <alignment horizontal="center"/>
    </xf>
    <xf numFmtId="6" fontId="0" fillId="0" borderId="7" xfId="0" applyNumberFormat="1" applyBorder="1" applyAlignment="1">
      <alignment horizontal="right"/>
    </xf>
    <xf numFmtId="6" fontId="0" fillId="0" borderId="17" xfId="0" applyNumberFormat="1" applyBorder="1" applyAlignment="1">
      <alignment horizontal="right"/>
    </xf>
    <xf numFmtId="6" fontId="0" fillId="0" borderId="0" xfId="0" applyNumberFormat="1" applyAlignment="1">
      <alignment horizontal="left"/>
    </xf>
    <xf numFmtId="0" fontId="0" fillId="0" borderId="18" xfId="0" applyBorder="1" applyAlignment="1">
      <alignment/>
    </xf>
    <xf numFmtId="0" fontId="0" fillId="0" borderId="8" xfId="0" applyBorder="1" applyAlignment="1">
      <alignment horizontal="right"/>
    </xf>
    <xf numFmtId="0" fontId="0" fillId="0" borderId="14" xfId="0" applyBorder="1" applyAlignment="1">
      <alignment/>
    </xf>
    <xf numFmtId="0" fontId="0" fillId="0" borderId="0" xfId="0" applyBorder="1" applyAlignment="1">
      <alignment horizontal="right"/>
    </xf>
    <xf numFmtId="0" fontId="0" fillId="0" borderId="19" xfId="0" applyBorder="1" applyAlignment="1">
      <alignment/>
    </xf>
    <xf numFmtId="0" fontId="0" fillId="0" borderId="1" xfId="0" applyBorder="1" applyAlignment="1">
      <alignment horizontal="right"/>
    </xf>
    <xf numFmtId="6" fontId="0" fillId="0" borderId="20" xfId="0" applyNumberFormat="1" applyBorder="1" applyAlignment="1">
      <alignment horizontal="right"/>
    </xf>
    <xf numFmtId="6" fontId="0" fillId="0" borderId="21" xfId="0" applyNumberFormat="1" applyBorder="1" applyAlignment="1">
      <alignment horizontal="right"/>
    </xf>
    <xf numFmtId="6" fontId="1" fillId="0" borderId="22" xfId="0" applyNumberFormat="1" applyFont="1" applyBorder="1" applyAlignment="1">
      <alignment horizontal="right"/>
    </xf>
    <xf numFmtId="8" fontId="0" fillId="0" borderId="0" xfId="0" applyNumberFormat="1" applyAlignment="1">
      <alignment/>
    </xf>
    <xf numFmtId="38" fontId="0" fillId="0" borderId="0" xfId="0" applyNumberFormat="1" applyBorder="1" applyAlignment="1">
      <alignment horizontal="center"/>
    </xf>
    <xf numFmtId="6" fontId="0" fillId="0" borderId="14" xfId="0" applyNumberFormat="1" applyBorder="1" applyAlignment="1">
      <alignment horizontal="center"/>
    </xf>
    <xf numFmtId="6" fontId="0" fillId="0" borderId="0" xfId="0" applyNumberFormat="1" applyBorder="1" applyAlignment="1">
      <alignment horizontal="center"/>
    </xf>
    <xf numFmtId="38" fontId="0" fillId="0" borderId="0" xfId="0" applyNumberFormat="1" applyAlignment="1">
      <alignment horizontal="left"/>
    </xf>
    <xf numFmtId="0" fontId="0" fillId="0" borderId="0" xfId="0" applyAlignment="1">
      <alignment horizontal="left"/>
    </xf>
    <xf numFmtId="0" fontId="1" fillId="0" borderId="0" xfId="0" applyFont="1" applyAlignment="1">
      <alignment horizontal="center"/>
    </xf>
    <xf numFmtId="38" fontId="0" fillId="0" borderId="7" xfId="0" applyNumberFormat="1" applyBorder="1" applyAlignment="1">
      <alignment horizontal="center"/>
    </xf>
    <xf numFmtId="0" fontId="0" fillId="0" borderId="17" xfId="0" applyBorder="1" applyAlignment="1">
      <alignment horizontal="center"/>
    </xf>
    <xf numFmtId="6" fontId="0" fillId="0" borderId="23" xfId="0" applyNumberFormat="1" applyBorder="1" applyAlignment="1">
      <alignment horizontal="center"/>
    </xf>
    <xf numFmtId="6" fontId="1" fillId="3" borderId="22" xfId="0" applyNumberFormat="1" applyFont="1" applyFill="1" applyBorder="1" applyAlignment="1">
      <alignment horizontal="right"/>
    </xf>
    <xf numFmtId="0" fontId="1" fillId="0" borderId="0" xfId="0" applyFont="1" applyAlignment="1">
      <alignment horizontal="right"/>
    </xf>
    <xf numFmtId="0" fontId="0" fillId="0" borderId="7" xfId="0" applyBorder="1" applyAlignment="1">
      <alignment horizontal="right"/>
    </xf>
    <xf numFmtId="6" fontId="0" fillId="0" borderId="2" xfId="0" applyNumberFormat="1" applyBorder="1" applyAlignment="1">
      <alignment horizontal="right"/>
    </xf>
    <xf numFmtId="6" fontId="0" fillId="0" borderId="11" xfId="0" applyNumberFormat="1" applyBorder="1" applyAlignment="1">
      <alignment horizontal="right"/>
    </xf>
    <xf numFmtId="6" fontId="0" fillId="0" borderId="4" xfId="0" applyNumberFormat="1" applyBorder="1" applyAlignment="1">
      <alignment/>
    </xf>
    <xf numFmtId="6" fontId="1" fillId="0" borderId="0" xfId="0" applyNumberFormat="1" applyFont="1" applyBorder="1" applyAlignment="1">
      <alignment/>
    </xf>
    <xf numFmtId="0" fontId="0" fillId="0" borderId="22" xfId="0" applyBorder="1" applyAlignment="1">
      <alignment horizontal="right"/>
    </xf>
    <xf numFmtId="6" fontId="0" fillId="0" borderId="24" xfId="0" applyNumberFormat="1" applyBorder="1" applyAlignment="1">
      <alignment horizontal="right"/>
    </xf>
    <xf numFmtId="6" fontId="0" fillId="0" borderId="16" xfId="0" applyNumberFormat="1" applyBorder="1" applyAlignment="1">
      <alignment horizontal="right"/>
    </xf>
    <xf numFmtId="0" fontId="0" fillId="0" borderId="16" xfId="0" applyBorder="1" applyAlignment="1">
      <alignment horizontal="right"/>
    </xf>
    <xf numFmtId="6" fontId="0" fillId="0" borderId="0" xfId="0" applyNumberFormat="1" applyAlignment="1" quotePrefix="1">
      <alignment horizontal="left"/>
    </xf>
    <xf numFmtId="167" fontId="0" fillId="0" borderId="0" xfId="0" applyNumberFormat="1" applyAlignment="1">
      <alignment/>
    </xf>
    <xf numFmtId="0" fontId="0" fillId="0" borderId="0" xfId="0" applyAlignment="1" quotePrefix="1">
      <alignment/>
    </xf>
    <xf numFmtId="10" fontId="1" fillId="0" borderId="0" xfId="0" applyNumberFormat="1" applyFont="1" applyFill="1" applyAlignment="1">
      <alignment horizontal="left"/>
    </xf>
    <xf numFmtId="10" fontId="1" fillId="4" borderId="0" xfId="0" applyNumberFormat="1" applyFont="1" applyFill="1" applyAlignment="1">
      <alignment horizontal="left"/>
    </xf>
    <xf numFmtId="6" fontId="2" fillId="0" borderId="0" xfId="0" applyNumberFormat="1" applyFont="1" applyBorder="1" applyAlignment="1">
      <alignment horizontal="left"/>
    </xf>
    <xf numFmtId="0" fontId="0" fillId="0" borderId="0" xfId="0" applyFill="1" applyBorder="1" applyAlignment="1">
      <alignment/>
    </xf>
    <xf numFmtId="0" fontId="0" fillId="0" borderId="0" xfId="0" applyFill="1" applyBorder="1" applyAlignment="1">
      <alignment horizontal="right"/>
    </xf>
    <xf numFmtId="6" fontId="1" fillId="0" borderId="7" xfId="0" applyNumberFormat="1" applyFont="1" applyBorder="1" applyAlignment="1">
      <alignment horizontal="center"/>
    </xf>
    <xf numFmtId="6" fontId="1" fillId="0" borderId="10" xfId="0" applyNumberFormat="1" applyFont="1" applyBorder="1" applyAlignment="1">
      <alignment horizontal="center"/>
    </xf>
    <xf numFmtId="0" fontId="0" fillId="0" borderId="0" xfId="0" applyFill="1" applyAlignment="1">
      <alignment/>
    </xf>
    <xf numFmtId="6" fontId="0" fillId="0" borderId="0" xfId="0" applyNumberFormat="1" applyFill="1" applyAlignment="1">
      <alignment/>
    </xf>
    <xf numFmtId="0" fontId="0" fillId="0" borderId="0" xfId="0" applyFill="1" applyAlignment="1">
      <alignment horizontal="right"/>
    </xf>
    <xf numFmtId="6" fontId="0" fillId="0" borderId="22" xfId="0" applyNumberFormat="1" applyFill="1" applyBorder="1" applyAlignment="1">
      <alignment/>
    </xf>
    <xf numFmtId="10" fontId="0" fillId="3" borderId="0" xfId="0" applyNumberFormat="1" applyFill="1" applyBorder="1" applyAlignment="1">
      <alignment/>
    </xf>
    <xf numFmtId="6" fontId="0" fillId="4" borderId="0" xfId="0" applyNumberFormat="1" applyFill="1" applyAlignment="1">
      <alignment/>
    </xf>
    <xf numFmtId="9" fontId="0" fillId="0" borderId="0" xfId="0" applyNumberFormat="1" applyFill="1" applyAlignment="1">
      <alignment/>
    </xf>
    <xf numFmtId="167" fontId="0" fillId="0" borderId="22" xfId="0" applyNumberFormat="1" applyFill="1" applyBorder="1" applyAlignment="1">
      <alignment/>
    </xf>
    <xf numFmtId="10" fontId="0" fillId="0" borderId="22" xfId="0" applyNumberFormat="1" applyBorder="1" applyAlignment="1">
      <alignment/>
    </xf>
    <xf numFmtId="167" fontId="0" fillId="0" borderId="22" xfId="0" applyNumberFormat="1" applyBorder="1" applyAlignment="1">
      <alignment/>
    </xf>
    <xf numFmtId="6" fontId="0" fillId="0" borderId="25" xfId="0" applyNumberFormat="1" applyBorder="1" applyAlignment="1">
      <alignment horizontal="right"/>
    </xf>
    <xf numFmtId="6" fontId="0" fillId="0" borderId="26" xfId="0" applyNumberFormat="1" applyBorder="1" applyAlignment="1">
      <alignment horizontal="right"/>
    </xf>
    <xf numFmtId="10" fontId="2" fillId="5" borderId="0" xfId="0" applyNumberFormat="1" applyFont="1" applyFill="1" applyAlignment="1">
      <alignment horizontal="left"/>
    </xf>
    <xf numFmtId="0" fontId="2" fillId="5" borderId="0" xfId="0" applyFont="1" applyFill="1" applyAlignment="1" quotePrefix="1">
      <alignment/>
    </xf>
    <xf numFmtId="8" fontId="0" fillId="3" borderId="0" xfId="0" applyNumberFormat="1" applyFill="1" applyAlignment="1">
      <alignment/>
    </xf>
    <xf numFmtId="6" fontId="0" fillId="3" borderId="11" xfId="0" applyNumberFormat="1" applyFill="1" applyBorder="1" applyAlignment="1">
      <alignment horizontal="right"/>
    </xf>
    <xf numFmtId="6" fontId="0" fillId="3" borderId="4" xfId="0" applyNumberFormat="1" applyFill="1" applyBorder="1" applyAlignment="1">
      <alignment horizontal="right"/>
    </xf>
    <xf numFmtId="6" fontId="0" fillId="3" borderId="4" xfId="0" applyNumberFormat="1" applyFill="1" applyBorder="1" applyAlignment="1">
      <alignment/>
    </xf>
    <xf numFmtId="6" fontId="0" fillId="3" borderId="25" xfId="0" applyNumberFormat="1" applyFill="1" applyBorder="1" applyAlignment="1">
      <alignment horizontal="right"/>
    </xf>
    <xf numFmtId="6" fontId="8" fillId="3" borderId="0" xfId="0" applyNumberFormat="1" applyFont="1" applyFill="1" applyAlignment="1">
      <alignment/>
    </xf>
    <xf numFmtId="10" fontId="1" fillId="0" borderId="0" xfId="0" applyNumberFormat="1" applyFont="1" applyFill="1" applyBorder="1" applyAlignment="1">
      <alignment/>
    </xf>
    <xf numFmtId="6" fontId="0" fillId="0" borderId="27" xfId="0" applyNumberFormat="1" applyBorder="1" applyAlignment="1">
      <alignment horizontal="left"/>
    </xf>
    <xf numFmtId="6" fontId="0" fillId="0" borderId="28" xfId="0" applyNumberFormat="1" applyBorder="1" applyAlignment="1">
      <alignment horizontal="center"/>
    </xf>
    <xf numFmtId="6" fontId="0" fillId="0" borderId="28" xfId="0" applyNumberFormat="1" applyBorder="1" applyAlignment="1">
      <alignment horizontal="right"/>
    </xf>
    <xf numFmtId="6" fontId="0" fillId="3" borderId="22" xfId="0" applyNumberFormat="1" applyFill="1" applyBorder="1" applyAlignment="1">
      <alignment horizontal="right"/>
    </xf>
    <xf numFmtId="38" fontId="0" fillId="3" borderId="22" xfId="0" applyNumberFormat="1" applyFill="1" applyBorder="1" applyAlignment="1">
      <alignment horizontal="right"/>
    </xf>
    <xf numFmtId="8" fontId="0" fillId="3" borderId="22" xfId="0" applyNumberFormat="1" applyFill="1" applyBorder="1" applyAlignment="1">
      <alignment horizontal="right"/>
    </xf>
    <xf numFmtId="8" fontId="0" fillId="3" borderId="22" xfId="0" applyNumberFormat="1" applyFill="1" applyBorder="1" applyAlignment="1">
      <alignment/>
    </xf>
    <xf numFmtId="6" fontId="0" fillId="0" borderId="13" xfId="0" applyNumberFormat="1" applyBorder="1" applyAlignment="1">
      <alignment/>
    </xf>
    <xf numFmtId="6" fontId="1" fillId="0" borderId="17" xfId="0" applyNumberFormat="1" applyFont="1" applyBorder="1" applyAlignment="1">
      <alignment/>
    </xf>
    <xf numFmtId="38" fontId="0" fillId="0" borderId="8" xfId="0" applyNumberFormat="1" applyBorder="1" applyAlignment="1">
      <alignment horizontal="right"/>
    </xf>
    <xf numFmtId="6" fontId="0" fillId="0" borderId="8" xfId="0" applyNumberFormat="1" applyBorder="1" applyAlignment="1">
      <alignment horizontal="right"/>
    </xf>
    <xf numFmtId="0" fontId="0" fillId="6" borderId="0" xfId="0" applyFill="1" applyAlignment="1">
      <alignment horizontal="right"/>
    </xf>
    <xf numFmtId="6" fontId="0" fillId="6" borderId="0" xfId="0" applyNumberFormat="1" applyFill="1" applyAlignment="1">
      <alignment horizontal="right"/>
    </xf>
    <xf numFmtId="8" fontId="0" fillId="0" borderId="27" xfId="0" applyNumberFormat="1" applyBorder="1" applyAlignment="1">
      <alignment/>
    </xf>
    <xf numFmtId="6" fontId="1" fillId="0" borderId="0" xfId="0" applyNumberFormat="1" applyFont="1" applyAlignment="1">
      <alignment/>
    </xf>
    <xf numFmtId="6" fontId="1" fillId="0" borderId="0" xfId="0" applyNumberFormat="1" applyFont="1" applyAlignment="1">
      <alignment horizontal="left"/>
    </xf>
    <xf numFmtId="6" fontId="1" fillId="0" borderId="0" xfId="0" applyNumberFormat="1" applyFont="1" applyAlignment="1">
      <alignment horizontal="right"/>
    </xf>
    <xf numFmtId="6" fontId="1" fillId="0" borderId="0" xfId="0" applyNumberFormat="1" applyFont="1" applyAlignment="1" quotePrefix="1">
      <alignment horizontal="left"/>
    </xf>
    <xf numFmtId="6" fontId="0" fillId="0" borderId="0" xfId="0" applyNumberFormat="1" applyFont="1" applyAlignment="1" quotePrefix="1">
      <alignment horizontal="left"/>
    </xf>
    <xf numFmtId="0" fontId="1" fillId="0" borderId="0" xfId="0" applyFont="1" applyAlignment="1">
      <alignment horizontal="left"/>
    </xf>
    <xf numFmtId="0" fontId="1" fillId="0" borderId="0" xfId="0" applyFont="1" applyAlignment="1" quotePrefix="1">
      <alignment/>
    </xf>
    <xf numFmtId="6" fontId="0" fillId="0" borderId="0" xfId="0" applyNumberFormat="1" applyFont="1" applyBorder="1" applyAlignment="1">
      <alignment horizontal="right"/>
    </xf>
    <xf numFmtId="6" fontId="0" fillId="0" borderId="3" xfId="0" applyNumberForma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pageSetUpPr fitToPage="1"/>
  </sheetPr>
  <dimension ref="A1:C61"/>
  <sheetViews>
    <sheetView workbookViewId="0" topLeftCell="A1">
      <selection activeCell="A1" sqref="A1:IV16384"/>
    </sheetView>
  </sheetViews>
  <sheetFormatPr defaultColWidth="9.140625" defaultRowHeight="12.75"/>
  <cols>
    <col min="1" max="1" width="33.421875" style="0" bestFit="1" customWidth="1"/>
    <col min="2" max="3" width="20.8515625" style="2" bestFit="1" customWidth="1"/>
  </cols>
  <sheetData>
    <row r="1" ht="12.75">
      <c r="A1" t="s">
        <v>108</v>
      </c>
    </row>
    <row r="2" ht="12.75"/>
    <row r="3" ht="13.5" thickBot="1"/>
    <row r="4" spans="1:3" ht="15.75" customHeight="1" thickTop="1">
      <c r="A4" s="6" t="s">
        <v>107</v>
      </c>
      <c r="B4" s="7" t="s">
        <v>0</v>
      </c>
      <c r="C4" s="104" t="s">
        <v>0</v>
      </c>
    </row>
    <row r="5" spans="1:3" ht="13.5" thickBot="1">
      <c r="A5" s="8" t="s">
        <v>106</v>
      </c>
      <c r="B5" s="9" t="s">
        <v>1</v>
      </c>
      <c r="C5" s="10" t="s">
        <v>1</v>
      </c>
    </row>
    <row r="6" spans="1:3" ht="14.25" thickBot="1" thickTop="1">
      <c r="A6" t="s">
        <v>2</v>
      </c>
      <c r="B6" s="11" t="s">
        <v>3</v>
      </c>
      <c r="C6" s="105" t="s">
        <v>4</v>
      </c>
    </row>
    <row r="7" spans="1:3" ht="13.5" thickTop="1">
      <c r="A7" s="1" t="s">
        <v>5</v>
      </c>
      <c r="B7" s="3">
        <v>20000</v>
      </c>
      <c r="C7" s="3">
        <f>B7</f>
        <v>20000</v>
      </c>
    </row>
    <row r="8" spans="1:3" ht="13.5" thickBot="1">
      <c r="A8" s="1" t="s">
        <v>109</v>
      </c>
      <c r="B8" s="5">
        <f>0.5*B7</f>
        <v>10000</v>
      </c>
      <c r="C8" s="5">
        <v>0</v>
      </c>
    </row>
    <row r="9" spans="1:3" ht="14.25" thickBot="1" thickTop="1">
      <c r="A9" s="1" t="s">
        <v>7</v>
      </c>
      <c r="B9" s="4">
        <f>B7-B8</f>
        <v>10000</v>
      </c>
      <c r="C9" s="4">
        <f>C7-C8</f>
        <v>20000</v>
      </c>
    </row>
    <row r="10" spans="1:3" ht="13.5" thickTop="1">
      <c r="A10" s="1" t="s">
        <v>8</v>
      </c>
      <c r="B10" s="3">
        <f>10000+B9</f>
        <v>20000</v>
      </c>
      <c r="C10" s="3">
        <f>10000+C9</f>
        <v>30000</v>
      </c>
    </row>
    <row r="11" spans="1:3" ht="12.75">
      <c r="A11" s="1" t="s">
        <v>9</v>
      </c>
      <c r="B11" s="3">
        <v>-10000</v>
      </c>
      <c r="C11" s="3">
        <f>B11</f>
        <v>-10000</v>
      </c>
    </row>
    <row r="12" spans="1:3" ht="13.5" thickBot="1">
      <c r="A12" s="1" t="s">
        <v>110</v>
      </c>
      <c r="B12" s="4">
        <f>-B10-B11</f>
        <v>-10000</v>
      </c>
      <c r="C12" s="4">
        <f>-C10-C11</f>
        <v>-20000</v>
      </c>
    </row>
    <row r="13" spans="1:3" ht="13.5" thickTop="1">
      <c r="A13" s="1" t="s">
        <v>114</v>
      </c>
      <c r="B13" s="106">
        <v>10000</v>
      </c>
      <c r="C13" s="107">
        <f>$B$13</f>
        <v>10000</v>
      </c>
    </row>
    <row r="14" spans="1:3" ht="13.5" thickBot="1">
      <c r="A14" s="1" t="s">
        <v>115</v>
      </c>
      <c r="B14" s="12">
        <f>B9/10000</f>
        <v>1</v>
      </c>
      <c r="C14" s="12">
        <f>C9/10000</f>
        <v>2</v>
      </c>
    </row>
    <row r="15" spans="1:3" ht="14.25" thickBot="1" thickTop="1">
      <c r="A15" s="108"/>
      <c r="B15" s="109"/>
      <c r="C15" s="109"/>
    </row>
    <row r="16" spans="1:3" ht="14.25" thickBot="1" thickTop="1">
      <c r="A16" t="s">
        <v>17</v>
      </c>
      <c r="B16" s="11" t="s">
        <v>3</v>
      </c>
      <c r="C16" s="105" t="s">
        <v>4</v>
      </c>
    </row>
    <row r="17" spans="1:3" ht="13.5" thickTop="1">
      <c r="A17" s="1" t="s">
        <v>5</v>
      </c>
      <c r="B17" s="3">
        <f>2*B7</f>
        <v>40000</v>
      </c>
      <c r="C17" s="3">
        <f>B17</f>
        <v>40000</v>
      </c>
    </row>
    <row r="18" spans="1:3" ht="13.5" thickBot="1">
      <c r="A18" s="1" t="s">
        <v>109</v>
      </c>
      <c r="B18" s="5">
        <f>0.5*B17</f>
        <v>20000</v>
      </c>
      <c r="C18" s="5">
        <v>0</v>
      </c>
    </row>
    <row r="19" spans="1:3" ht="14.25" thickBot="1" thickTop="1">
      <c r="A19" s="1" t="s">
        <v>7</v>
      </c>
      <c r="B19" s="4">
        <f>B17-B18</f>
        <v>20000</v>
      </c>
      <c r="C19" s="4">
        <f>C17-C18</f>
        <v>40000</v>
      </c>
    </row>
    <row r="20" spans="1:3" ht="13.5" thickTop="1">
      <c r="A20" s="1" t="s">
        <v>8</v>
      </c>
      <c r="B20" s="107">
        <f>B10+B19</f>
        <v>40000</v>
      </c>
      <c r="C20" s="3">
        <f>C10+C19</f>
        <v>70000</v>
      </c>
    </row>
    <row r="21" spans="1:3" ht="12.75">
      <c r="A21" s="1" t="s">
        <v>9</v>
      </c>
      <c r="B21" s="3">
        <f>B$11</f>
        <v>-10000</v>
      </c>
      <c r="C21" s="3">
        <f>B$11</f>
        <v>-10000</v>
      </c>
    </row>
    <row r="22" spans="1:3" ht="13.5" thickBot="1">
      <c r="A22" s="1" t="s">
        <v>110</v>
      </c>
      <c r="B22" s="4">
        <f>-B20-B21</f>
        <v>-30000</v>
      </c>
      <c r="C22" s="4">
        <f>-C20-C21</f>
        <v>-60000</v>
      </c>
    </row>
    <row r="23" spans="1:3" ht="13.5" thickTop="1">
      <c r="A23" s="1" t="s">
        <v>114</v>
      </c>
      <c r="B23" s="106">
        <f>$B$13</f>
        <v>10000</v>
      </c>
      <c r="C23" s="106">
        <f>$B$13</f>
        <v>10000</v>
      </c>
    </row>
    <row r="24" spans="1:3" ht="13.5" thickBot="1">
      <c r="A24" s="1" t="s">
        <v>115</v>
      </c>
      <c r="B24" s="12">
        <f>B19/10000</f>
        <v>2</v>
      </c>
      <c r="C24" s="12">
        <f>C19/10000</f>
        <v>4</v>
      </c>
    </row>
    <row r="25" spans="1:3" ht="14.25" thickBot="1" thickTop="1">
      <c r="A25" s="108"/>
      <c r="B25" s="109"/>
      <c r="C25" s="109"/>
    </row>
    <row r="26" spans="1:3" ht="14.25" thickBot="1" thickTop="1">
      <c r="A26" t="s">
        <v>18</v>
      </c>
      <c r="B26" s="11" t="s">
        <v>3</v>
      </c>
      <c r="C26" s="105" t="s">
        <v>4</v>
      </c>
    </row>
    <row r="27" spans="1:3" ht="13.5" thickTop="1">
      <c r="A27" s="1" t="s">
        <v>5</v>
      </c>
      <c r="B27" s="3">
        <f>2*B17</f>
        <v>80000</v>
      </c>
      <c r="C27" s="3">
        <f>B27</f>
        <v>80000</v>
      </c>
    </row>
    <row r="28" spans="1:3" ht="13.5" thickBot="1">
      <c r="A28" s="1" t="s">
        <v>109</v>
      </c>
      <c r="B28" s="5">
        <f>0.5*B27</f>
        <v>40000</v>
      </c>
      <c r="C28" s="5">
        <v>0</v>
      </c>
    </row>
    <row r="29" spans="1:3" ht="14.25" thickBot="1" thickTop="1">
      <c r="A29" s="1" t="s">
        <v>7</v>
      </c>
      <c r="B29" s="4">
        <f>B27-B28</f>
        <v>40000</v>
      </c>
      <c r="C29" s="4">
        <f>C27-C28</f>
        <v>80000</v>
      </c>
    </row>
    <row r="30" spans="1:3" ht="13.5" thickTop="1">
      <c r="A30" s="1" t="s">
        <v>8</v>
      </c>
      <c r="B30" s="107">
        <f>B20+B29</f>
        <v>80000</v>
      </c>
      <c r="C30" s="3">
        <f>C20+C29</f>
        <v>150000</v>
      </c>
    </row>
    <row r="31" spans="1:3" ht="12.75">
      <c r="A31" s="1" t="s">
        <v>9</v>
      </c>
      <c r="B31" s="3">
        <f>B$11</f>
        <v>-10000</v>
      </c>
      <c r="C31" s="3">
        <f>B$11</f>
        <v>-10000</v>
      </c>
    </row>
    <row r="32" spans="1:3" ht="13.5" thickBot="1">
      <c r="A32" s="1" t="s">
        <v>110</v>
      </c>
      <c r="B32" s="4">
        <f>-B30-B31</f>
        <v>-70000</v>
      </c>
      <c r="C32" s="4">
        <f>-C30-C31</f>
        <v>-140000</v>
      </c>
    </row>
    <row r="33" spans="1:3" ht="13.5" thickTop="1">
      <c r="A33" s="1" t="s">
        <v>114</v>
      </c>
      <c r="B33" s="106">
        <f>$B$13</f>
        <v>10000</v>
      </c>
      <c r="C33" s="106">
        <f>$B$13</f>
        <v>10000</v>
      </c>
    </row>
    <row r="34" spans="1:3" ht="13.5" thickBot="1">
      <c r="A34" s="1" t="s">
        <v>115</v>
      </c>
      <c r="B34" s="12">
        <f>B29/10000</f>
        <v>4</v>
      </c>
      <c r="C34" s="12">
        <f>C29/10000</f>
        <v>8</v>
      </c>
    </row>
    <row r="35" spans="1:3" ht="14.25" thickBot="1" thickTop="1">
      <c r="A35" s="108"/>
      <c r="B35" s="109"/>
      <c r="C35" s="109"/>
    </row>
    <row r="36" spans="1:3" ht="14.25" thickBot="1" thickTop="1">
      <c r="A36" t="s">
        <v>19</v>
      </c>
      <c r="B36" s="11" t="s">
        <v>3</v>
      </c>
      <c r="C36" s="105" t="s">
        <v>4</v>
      </c>
    </row>
    <row r="37" spans="1:3" ht="13.5" thickTop="1">
      <c r="A37" s="1" t="s">
        <v>5</v>
      </c>
      <c r="B37" s="3">
        <f>2*B27</f>
        <v>160000</v>
      </c>
      <c r="C37" s="3">
        <f>B37</f>
        <v>160000</v>
      </c>
    </row>
    <row r="38" spans="1:3" ht="13.5" thickBot="1">
      <c r="A38" s="1" t="s">
        <v>109</v>
      </c>
      <c r="B38" s="5">
        <f>0.5*B37</f>
        <v>80000</v>
      </c>
      <c r="C38" s="5">
        <v>0</v>
      </c>
    </row>
    <row r="39" spans="1:3" ht="14.25" thickBot="1" thickTop="1">
      <c r="A39" s="1" t="s">
        <v>7</v>
      </c>
      <c r="B39" s="4">
        <f>B37-B38</f>
        <v>80000</v>
      </c>
      <c r="C39" s="4">
        <f>C37-C38</f>
        <v>160000</v>
      </c>
    </row>
    <row r="40" spans="1:3" ht="13.5" thickTop="1">
      <c r="A40" s="1" t="s">
        <v>8</v>
      </c>
      <c r="B40" s="107">
        <f>B30+B39</f>
        <v>160000</v>
      </c>
      <c r="C40" s="3">
        <f>C30+C39</f>
        <v>310000</v>
      </c>
    </row>
    <row r="41" spans="1:3" ht="12.75">
      <c r="A41" s="1" t="s">
        <v>9</v>
      </c>
      <c r="B41" s="3">
        <f>B$11</f>
        <v>-10000</v>
      </c>
      <c r="C41" s="3">
        <f>B$11</f>
        <v>-10000</v>
      </c>
    </row>
    <row r="42" spans="1:3" ht="13.5" thickBot="1">
      <c r="A42" s="1" t="s">
        <v>110</v>
      </c>
      <c r="B42" s="4">
        <f>-B40-B41</f>
        <v>-150000</v>
      </c>
      <c r="C42" s="4">
        <f>-C40-C41</f>
        <v>-300000</v>
      </c>
    </row>
    <row r="43" spans="1:3" ht="13.5" thickTop="1">
      <c r="A43" s="1" t="s">
        <v>114</v>
      </c>
      <c r="B43" s="106">
        <f>$B$13</f>
        <v>10000</v>
      </c>
      <c r="C43" s="106">
        <f>$B$13</f>
        <v>10000</v>
      </c>
    </row>
    <row r="44" spans="1:3" ht="13.5" thickBot="1">
      <c r="A44" s="1" t="s">
        <v>115</v>
      </c>
      <c r="B44" s="12">
        <f>B39/10000</f>
        <v>8</v>
      </c>
      <c r="C44" s="12">
        <f>C39/10000</f>
        <v>16</v>
      </c>
    </row>
    <row r="45" spans="1:3" ht="14.25" thickBot="1" thickTop="1">
      <c r="A45" s="108"/>
      <c r="B45" s="109"/>
      <c r="C45" s="109"/>
    </row>
    <row r="46" spans="1:3" ht="14.25" thickBot="1" thickTop="1">
      <c r="A46" t="s">
        <v>111</v>
      </c>
      <c r="B46" s="11" t="s">
        <v>3</v>
      </c>
      <c r="C46" s="105" t="s">
        <v>4</v>
      </c>
    </row>
    <row r="47" spans="1:3" ht="13.5" thickTop="1">
      <c r="A47" s="1" t="s">
        <v>5</v>
      </c>
      <c r="B47" s="3">
        <f>2*B37</f>
        <v>320000</v>
      </c>
      <c r="C47" s="3">
        <f>B47</f>
        <v>320000</v>
      </c>
    </row>
    <row r="48" spans="1:3" ht="13.5" thickBot="1">
      <c r="A48" s="1" t="s">
        <v>109</v>
      </c>
      <c r="B48" s="5">
        <f>0.5*B47</f>
        <v>160000</v>
      </c>
      <c r="C48" s="5">
        <v>0</v>
      </c>
    </row>
    <row r="49" spans="1:3" ht="14.25" thickBot="1" thickTop="1">
      <c r="A49" s="1" t="s">
        <v>7</v>
      </c>
      <c r="B49" s="4">
        <f>B47-B48</f>
        <v>160000</v>
      </c>
      <c r="C49" s="4">
        <f>C47-C48</f>
        <v>320000</v>
      </c>
    </row>
    <row r="50" spans="1:3" ht="13.5" thickTop="1">
      <c r="A50" s="1" t="s">
        <v>8</v>
      </c>
      <c r="B50" s="107">
        <f>B40+B49</f>
        <v>320000</v>
      </c>
      <c r="C50" s="3">
        <f>C40+C49</f>
        <v>630000</v>
      </c>
    </row>
    <row r="51" spans="1:3" ht="12.75">
      <c r="A51" s="1" t="s">
        <v>9</v>
      </c>
      <c r="B51" s="3">
        <f>B$11</f>
        <v>-10000</v>
      </c>
      <c r="C51" s="3">
        <f>B$11</f>
        <v>-10000</v>
      </c>
    </row>
    <row r="52" spans="1:3" ht="13.5" thickBot="1">
      <c r="A52" s="1" t="s">
        <v>110</v>
      </c>
      <c r="B52" s="4">
        <f>-B50-B51</f>
        <v>-310000</v>
      </c>
      <c r="C52" s="4">
        <f>-C50-C51</f>
        <v>-620000</v>
      </c>
    </row>
    <row r="53" spans="1:3" ht="13.5" thickTop="1">
      <c r="A53" s="1" t="s">
        <v>114</v>
      </c>
      <c r="B53" s="106">
        <f>$B$13</f>
        <v>10000</v>
      </c>
      <c r="C53" s="106">
        <f>$B$13+15000</f>
        <v>25000</v>
      </c>
    </row>
    <row r="54" spans="1:3" ht="13.5" thickBot="1">
      <c r="A54" s="1" t="s">
        <v>115</v>
      </c>
      <c r="B54" s="12">
        <f>B49/10000</f>
        <v>16</v>
      </c>
      <c r="C54" s="12">
        <f>C49/10000</f>
        <v>32</v>
      </c>
    </row>
    <row r="55" spans="2:3" ht="13.5" thickTop="1">
      <c r="B55" s="3"/>
      <c r="C55" s="3"/>
    </row>
    <row r="56" spans="1:3" ht="13.5" thickBot="1">
      <c r="A56" s="108"/>
      <c r="B56" s="109"/>
      <c r="C56" s="109"/>
    </row>
    <row r="57" spans="1:3" ht="14.25" thickBot="1" thickTop="1">
      <c r="A57" t="s">
        <v>112</v>
      </c>
      <c r="B57" s="11" t="s">
        <v>3</v>
      </c>
      <c r="C57" s="105" t="s">
        <v>4</v>
      </c>
    </row>
    <row r="58" spans="1:3" ht="13.5" thickTop="1">
      <c r="A58" s="1" t="s">
        <v>8</v>
      </c>
      <c r="B58" s="107">
        <f>B50</f>
        <v>320000</v>
      </c>
      <c r="C58" s="3">
        <f>C50+(10)*(15000)</f>
        <v>780000</v>
      </c>
    </row>
    <row r="59" spans="1:3" ht="12.75">
      <c r="A59" s="1" t="s">
        <v>9</v>
      </c>
      <c r="B59" s="3">
        <f>B51</f>
        <v>-10000</v>
      </c>
      <c r="C59" s="3">
        <f>C51-(10)*(15000)</f>
        <v>-160000</v>
      </c>
    </row>
    <row r="60" spans="1:3" ht="13.5" thickBot="1">
      <c r="A60" s="1" t="s">
        <v>110</v>
      </c>
      <c r="B60" s="4">
        <f>-B58-B59</f>
        <v>-310000</v>
      </c>
      <c r="C60" s="4">
        <f>-C58-C59</f>
        <v>-620000</v>
      </c>
    </row>
    <row r="61" spans="1:3" ht="14.25" thickBot="1" thickTop="1">
      <c r="A61" s="73" t="s">
        <v>113</v>
      </c>
      <c r="B61" s="110">
        <f>(B58-0)/B53</f>
        <v>32</v>
      </c>
      <c r="C61" s="110">
        <f>(C58-0)/C53</f>
        <v>31.2</v>
      </c>
    </row>
    <row r="62" ht="13.5" thickTop="1"/>
  </sheetData>
  <printOptions/>
  <pageMargins left="0.75" right="0.75" top="1" bottom="1" header="0.5" footer="0.5"/>
  <pageSetup fitToHeight="33" fitToWidth="1"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C66"/>
  <sheetViews>
    <sheetView tabSelected="1" workbookViewId="0" topLeftCell="A1">
      <selection activeCell="E12" sqref="E12"/>
    </sheetView>
  </sheetViews>
  <sheetFormatPr defaultColWidth="9.140625" defaultRowHeight="12.75"/>
  <cols>
    <col min="1" max="1" width="33.421875" style="0" bestFit="1" customWidth="1"/>
    <col min="2" max="2" width="20.8515625" style="2" bestFit="1" customWidth="1"/>
    <col min="3" max="3" width="22.421875" style="2" bestFit="1" customWidth="1"/>
  </cols>
  <sheetData>
    <row r="1" ht="12.75">
      <c r="A1" t="s">
        <v>122</v>
      </c>
    </row>
    <row r="2" ht="12.75">
      <c r="A2" t="s">
        <v>123</v>
      </c>
    </row>
    <row r="3" ht="13.5" thickBot="1">
      <c r="A3" t="s">
        <v>124</v>
      </c>
    </row>
    <row r="4" spans="1:3" ht="15.75" customHeight="1" thickTop="1">
      <c r="A4" s="6" t="s">
        <v>107</v>
      </c>
      <c r="B4" s="119" t="s">
        <v>127</v>
      </c>
      <c r="C4" s="26" t="s">
        <v>125</v>
      </c>
    </row>
    <row r="5" spans="1:3" ht="13.5" thickBot="1">
      <c r="A5" s="8" t="s">
        <v>106</v>
      </c>
      <c r="B5" s="9" t="s">
        <v>1</v>
      </c>
      <c r="C5" s="10" t="s">
        <v>126</v>
      </c>
    </row>
    <row r="6" spans="1:3" ht="14.25" thickBot="1" thickTop="1">
      <c r="A6" t="s">
        <v>2</v>
      </c>
      <c r="B6" s="11" t="s">
        <v>3</v>
      </c>
      <c r="C6" s="105" t="s">
        <v>4</v>
      </c>
    </row>
    <row r="7" spans="1:3" ht="13.5" thickTop="1">
      <c r="A7" s="1" t="s">
        <v>5</v>
      </c>
      <c r="B7" s="3">
        <v>20000</v>
      </c>
      <c r="C7" s="3">
        <f>B7</f>
        <v>20000</v>
      </c>
    </row>
    <row r="8" spans="1:3" ht="12.75">
      <c r="A8" s="1" t="s">
        <v>128</v>
      </c>
      <c r="B8" s="118">
        <f>0.25*B7</f>
        <v>5000</v>
      </c>
      <c r="C8" s="118">
        <f>0.25*C7</f>
        <v>5000</v>
      </c>
    </row>
    <row r="9" spans="1:3" ht="13.5" thickBot="1">
      <c r="A9" s="1" t="s">
        <v>109</v>
      </c>
      <c r="B9" s="5">
        <f>0.25*B7</f>
        <v>5000</v>
      </c>
      <c r="C9" s="5">
        <v>0</v>
      </c>
    </row>
    <row r="10" spans="1:3" ht="14.25" thickBot="1" thickTop="1">
      <c r="A10" s="1" t="s">
        <v>7</v>
      </c>
      <c r="B10" s="4">
        <f>B7-B9</f>
        <v>15000</v>
      </c>
      <c r="C10" s="4">
        <f>C7-C9+C8</f>
        <v>25000</v>
      </c>
    </row>
    <row r="11" spans="1:3" ht="13.5" thickTop="1">
      <c r="A11" s="1" t="s">
        <v>8</v>
      </c>
      <c r="B11" s="3">
        <f>10000+B10-B8</f>
        <v>20000</v>
      </c>
      <c r="C11" s="3">
        <f>10000+C10-C8</f>
        <v>30000</v>
      </c>
    </row>
    <row r="12" spans="1:3" ht="12.75">
      <c r="A12" s="1" t="s">
        <v>9</v>
      </c>
      <c r="B12" s="3">
        <v>-10000</v>
      </c>
      <c r="C12" s="3">
        <f>B12</f>
        <v>-10000</v>
      </c>
    </row>
    <row r="13" spans="1:3" ht="13.5" thickBot="1">
      <c r="A13" s="1" t="s">
        <v>110</v>
      </c>
      <c r="B13" s="4">
        <f>-B11-B12</f>
        <v>-10000</v>
      </c>
      <c r="C13" s="4">
        <f>-C11-C12</f>
        <v>-20000</v>
      </c>
    </row>
    <row r="14" spans="1:3" ht="13.5" thickTop="1">
      <c r="A14" s="1" t="s">
        <v>114</v>
      </c>
      <c r="B14" s="106">
        <v>10000</v>
      </c>
      <c r="C14" s="107">
        <f>$B$14</f>
        <v>10000</v>
      </c>
    </row>
    <row r="15" spans="1:3" ht="13.5" thickBot="1">
      <c r="A15" s="1" t="s">
        <v>115</v>
      </c>
      <c r="B15" s="12">
        <f>B10/10000</f>
        <v>1.5</v>
      </c>
      <c r="C15" s="12">
        <f>C10/10000</f>
        <v>2.5</v>
      </c>
    </row>
    <row r="16" spans="1:3" ht="14.25" thickBot="1" thickTop="1">
      <c r="A16" s="108"/>
      <c r="B16" s="109"/>
      <c r="C16" s="109"/>
    </row>
    <row r="17" spans="1:3" ht="14.25" thickBot="1" thickTop="1">
      <c r="A17" t="s">
        <v>17</v>
      </c>
      <c r="B17" s="11" t="s">
        <v>3</v>
      </c>
      <c r="C17" s="105" t="s">
        <v>4</v>
      </c>
    </row>
    <row r="18" spans="1:3" ht="13.5" thickTop="1">
      <c r="A18" s="1" t="s">
        <v>5</v>
      </c>
      <c r="B18" s="3">
        <f>2*B7</f>
        <v>40000</v>
      </c>
      <c r="C18" s="3">
        <f>B18</f>
        <v>40000</v>
      </c>
    </row>
    <row r="19" spans="1:3" ht="12.75">
      <c r="A19" s="1"/>
      <c r="B19" s="3"/>
      <c r="C19" s="3"/>
    </row>
    <row r="20" spans="1:3" ht="13.5" thickBot="1">
      <c r="A20" s="1" t="s">
        <v>109</v>
      </c>
      <c r="B20" s="5">
        <f>0.5*B18</f>
        <v>20000</v>
      </c>
      <c r="C20" s="5">
        <v>0</v>
      </c>
    </row>
    <row r="21" spans="1:3" ht="14.25" thickBot="1" thickTop="1">
      <c r="A21" s="1" t="s">
        <v>7</v>
      </c>
      <c r="B21" s="4">
        <f>B18-B20</f>
        <v>20000</v>
      </c>
      <c r="C21" s="4">
        <f>C18-C20</f>
        <v>40000</v>
      </c>
    </row>
    <row r="22" spans="1:3" ht="13.5" thickTop="1">
      <c r="A22" s="1" t="s">
        <v>8</v>
      </c>
      <c r="B22" s="107">
        <f>B11+B21</f>
        <v>40000</v>
      </c>
      <c r="C22" s="3">
        <f>C11+C21</f>
        <v>70000</v>
      </c>
    </row>
    <row r="23" spans="1:3" ht="12.75">
      <c r="A23" s="1" t="s">
        <v>9</v>
      </c>
      <c r="B23" s="3">
        <f>B$12</f>
        <v>-10000</v>
      </c>
      <c r="C23" s="3">
        <f>B$12</f>
        <v>-10000</v>
      </c>
    </row>
    <row r="24" spans="1:3" ht="13.5" thickBot="1">
      <c r="A24" s="1" t="s">
        <v>110</v>
      </c>
      <c r="B24" s="4">
        <f>-B22-B23</f>
        <v>-30000</v>
      </c>
      <c r="C24" s="4">
        <f>-C22-C23</f>
        <v>-60000</v>
      </c>
    </row>
    <row r="25" spans="1:3" ht="13.5" thickTop="1">
      <c r="A25" s="1" t="s">
        <v>114</v>
      </c>
      <c r="B25" s="106">
        <f>$B$14</f>
        <v>10000</v>
      </c>
      <c r="C25" s="106">
        <f>$B$14</f>
        <v>10000</v>
      </c>
    </row>
    <row r="26" spans="1:3" ht="13.5" thickBot="1">
      <c r="A26" s="1" t="s">
        <v>115</v>
      </c>
      <c r="B26" s="12">
        <f>B21/10000</f>
        <v>2</v>
      </c>
      <c r="C26" s="12">
        <f>C21/10000</f>
        <v>4</v>
      </c>
    </row>
    <row r="27" spans="1:3" ht="14.25" thickBot="1" thickTop="1">
      <c r="A27" s="108"/>
      <c r="B27" s="109"/>
      <c r="C27" s="109"/>
    </row>
    <row r="28" spans="1:3" ht="14.25" thickBot="1" thickTop="1">
      <c r="A28" t="s">
        <v>18</v>
      </c>
      <c r="B28" s="11" t="s">
        <v>3</v>
      </c>
      <c r="C28" s="105" t="s">
        <v>4</v>
      </c>
    </row>
    <row r="29" spans="1:3" ht="13.5" thickTop="1">
      <c r="A29" s="1" t="s">
        <v>5</v>
      </c>
      <c r="B29" s="3">
        <f>2*B18</f>
        <v>80000</v>
      </c>
      <c r="C29" s="3">
        <f>B29</f>
        <v>80000</v>
      </c>
    </row>
    <row r="30" spans="1:3" ht="12.75">
      <c r="A30" s="1"/>
      <c r="B30" s="3"/>
      <c r="C30" s="3"/>
    </row>
    <row r="31" spans="1:3" ht="13.5" thickBot="1">
      <c r="A31" s="1" t="s">
        <v>109</v>
      </c>
      <c r="B31" s="5">
        <f>0.5*B29</f>
        <v>40000</v>
      </c>
      <c r="C31" s="5">
        <v>0</v>
      </c>
    </row>
    <row r="32" spans="1:3" ht="14.25" thickBot="1" thickTop="1">
      <c r="A32" s="1" t="s">
        <v>7</v>
      </c>
      <c r="B32" s="4">
        <f>B29-B31</f>
        <v>40000</v>
      </c>
      <c r="C32" s="4">
        <f>C29-C31</f>
        <v>80000</v>
      </c>
    </row>
    <row r="33" spans="1:3" ht="13.5" thickTop="1">
      <c r="A33" s="1" t="s">
        <v>8</v>
      </c>
      <c r="B33" s="107">
        <f>B22+B32</f>
        <v>80000</v>
      </c>
      <c r="C33" s="3">
        <f>C22+C32</f>
        <v>150000</v>
      </c>
    </row>
    <row r="34" spans="1:3" ht="12.75">
      <c r="A34" s="1" t="s">
        <v>9</v>
      </c>
      <c r="B34" s="3">
        <f>B$12</f>
        <v>-10000</v>
      </c>
      <c r="C34" s="3">
        <f>B$12</f>
        <v>-10000</v>
      </c>
    </row>
    <row r="35" spans="1:3" ht="13.5" thickBot="1">
      <c r="A35" s="1" t="s">
        <v>110</v>
      </c>
      <c r="B35" s="4">
        <f>-B33-B34</f>
        <v>-70000</v>
      </c>
      <c r="C35" s="4">
        <f>-C33-C34</f>
        <v>-140000</v>
      </c>
    </row>
    <row r="36" spans="1:3" ht="13.5" thickTop="1">
      <c r="A36" s="1" t="s">
        <v>114</v>
      </c>
      <c r="B36" s="106">
        <f>$B$14</f>
        <v>10000</v>
      </c>
      <c r="C36" s="106">
        <f>$B$14</f>
        <v>10000</v>
      </c>
    </row>
    <row r="37" spans="1:3" ht="13.5" thickBot="1">
      <c r="A37" s="1" t="s">
        <v>115</v>
      </c>
      <c r="B37" s="12">
        <f>B32/10000</f>
        <v>4</v>
      </c>
      <c r="C37" s="12">
        <f>C32/10000</f>
        <v>8</v>
      </c>
    </row>
    <row r="38" spans="1:3" ht="14.25" thickBot="1" thickTop="1">
      <c r="A38" s="108"/>
      <c r="B38" s="109"/>
      <c r="C38" s="109"/>
    </row>
    <row r="39" spans="1:3" ht="14.25" thickBot="1" thickTop="1">
      <c r="A39" t="s">
        <v>19</v>
      </c>
      <c r="B39" s="11" t="s">
        <v>3</v>
      </c>
      <c r="C39" s="105" t="s">
        <v>4</v>
      </c>
    </row>
    <row r="40" spans="1:3" ht="13.5" thickTop="1">
      <c r="A40" s="1" t="s">
        <v>5</v>
      </c>
      <c r="B40" s="3">
        <f>2*B29</f>
        <v>160000</v>
      </c>
      <c r="C40" s="3">
        <f>B40</f>
        <v>160000</v>
      </c>
    </row>
    <row r="41" spans="1:3" ht="12.75">
      <c r="A41" s="1"/>
      <c r="B41" s="3"/>
      <c r="C41" s="3"/>
    </row>
    <row r="42" spans="1:3" ht="13.5" thickBot="1">
      <c r="A42" s="1" t="s">
        <v>109</v>
      </c>
      <c r="B42" s="5">
        <f>0.5*B40</f>
        <v>80000</v>
      </c>
      <c r="C42" s="5">
        <v>0</v>
      </c>
    </row>
    <row r="43" spans="1:3" ht="14.25" thickBot="1" thickTop="1">
      <c r="A43" s="1" t="s">
        <v>7</v>
      </c>
      <c r="B43" s="4">
        <f>B40-B42</f>
        <v>80000</v>
      </c>
      <c r="C43" s="4">
        <f>C40-C42</f>
        <v>160000</v>
      </c>
    </row>
    <row r="44" spans="1:3" ht="13.5" thickTop="1">
      <c r="A44" s="1" t="s">
        <v>8</v>
      </c>
      <c r="B44" s="107">
        <f>B33+B43</f>
        <v>160000</v>
      </c>
      <c r="C44" s="3">
        <f>C33+C43</f>
        <v>310000</v>
      </c>
    </row>
    <row r="45" spans="1:3" ht="12.75">
      <c r="A45" s="1" t="s">
        <v>9</v>
      </c>
      <c r="B45" s="3">
        <f>B$12</f>
        <v>-10000</v>
      </c>
      <c r="C45" s="3">
        <f>B$12</f>
        <v>-10000</v>
      </c>
    </row>
    <row r="46" spans="1:3" ht="13.5" thickBot="1">
      <c r="A46" s="1" t="s">
        <v>110</v>
      </c>
      <c r="B46" s="4">
        <f>-B44-B45</f>
        <v>-150000</v>
      </c>
      <c r="C46" s="4">
        <f>-C44-C45</f>
        <v>-300000</v>
      </c>
    </row>
    <row r="47" spans="1:3" ht="13.5" thickTop="1">
      <c r="A47" s="1" t="s">
        <v>114</v>
      </c>
      <c r="B47" s="106">
        <f>$B$14</f>
        <v>10000</v>
      </c>
      <c r="C47" s="106">
        <f>$B$14</f>
        <v>10000</v>
      </c>
    </row>
    <row r="48" spans="1:3" ht="13.5" thickBot="1">
      <c r="A48" s="1" t="s">
        <v>115</v>
      </c>
      <c r="B48" s="12">
        <f>B43/10000</f>
        <v>8</v>
      </c>
      <c r="C48" s="12">
        <f>C43/10000</f>
        <v>16</v>
      </c>
    </row>
    <row r="49" spans="1:3" ht="14.25" thickBot="1" thickTop="1">
      <c r="A49" s="108"/>
      <c r="B49" s="109"/>
      <c r="C49" s="109"/>
    </row>
    <row r="50" spans="1:3" ht="14.25" thickBot="1" thickTop="1">
      <c r="A50" t="s">
        <v>111</v>
      </c>
      <c r="B50" s="11" t="s">
        <v>3</v>
      </c>
      <c r="C50" s="105" t="s">
        <v>4</v>
      </c>
    </row>
    <row r="51" spans="1:3" ht="13.5" thickTop="1">
      <c r="A51" s="1" t="s">
        <v>5</v>
      </c>
      <c r="B51" s="3">
        <f>2*B40</f>
        <v>320000</v>
      </c>
      <c r="C51" s="3">
        <f>B51</f>
        <v>320000</v>
      </c>
    </row>
    <row r="52" spans="1:3" ht="12.75">
      <c r="A52" s="1"/>
      <c r="B52" s="3"/>
      <c r="C52" s="3"/>
    </row>
    <row r="53" spans="1:3" ht="13.5" thickBot="1">
      <c r="A53" s="1" t="s">
        <v>109</v>
      </c>
      <c r="B53" s="5">
        <f>0.5*B51</f>
        <v>160000</v>
      </c>
      <c r="C53" s="5">
        <v>0</v>
      </c>
    </row>
    <row r="54" spans="1:3" ht="14.25" thickBot="1" thickTop="1">
      <c r="A54" s="1" t="s">
        <v>7</v>
      </c>
      <c r="B54" s="4">
        <f>B51-B53</f>
        <v>160000</v>
      </c>
      <c r="C54" s="4">
        <f>C51-C53</f>
        <v>320000</v>
      </c>
    </row>
    <row r="55" spans="1:3" ht="13.5" thickTop="1">
      <c r="A55" s="1" t="s">
        <v>8</v>
      </c>
      <c r="B55" s="107">
        <f>B44+B54</f>
        <v>320000</v>
      </c>
      <c r="C55" s="3">
        <f>C44+C54</f>
        <v>630000</v>
      </c>
    </row>
    <row r="56" spans="1:3" ht="12.75">
      <c r="A56" s="1" t="s">
        <v>9</v>
      </c>
      <c r="B56" s="3">
        <f>B$12</f>
        <v>-10000</v>
      </c>
      <c r="C56" s="3">
        <f>B$12</f>
        <v>-10000</v>
      </c>
    </row>
    <row r="57" spans="1:3" ht="13.5" thickBot="1">
      <c r="A57" s="1" t="s">
        <v>110</v>
      </c>
      <c r="B57" s="4">
        <f>-B55-B56</f>
        <v>-310000</v>
      </c>
      <c r="C57" s="4">
        <f>-C55-C56</f>
        <v>-620000</v>
      </c>
    </row>
    <row r="58" spans="1:3" ht="13.5" thickTop="1">
      <c r="A58" s="1" t="s">
        <v>114</v>
      </c>
      <c r="B58" s="106">
        <f>$B$14</f>
        <v>10000</v>
      </c>
      <c r="C58" s="106">
        <f>$B$14+15000</f>
        <v>25000</v>
      </c>
    </row>
    <row r="59" spans="1:3" ht="13.5" thickBot="1">
      <c r="A59" s="1" t="s">
        <v>115</v>
      </c>
      <c r="B59" s="12">
        <f>B54/10000</f>
        <v>16</v>
      </c>
      <c r="C59" s="12">
        <f>C54/10000</f>
        <v>32</v>
      </c>
    </row>
    <row r="60" spans="2:3" ht="13.5" thickTop="1">
      <c r="B60" s="3"/>
      <c r="C60" s="3"/>
    </row>
    <row r="61" spans="1:3" ht="13.5" thickBot="1">
      <c r="A61" s="108"/>
      <c r="B61" s="109"/>
      <c r="C61" s="109"/>
    </row>
    <row r="62" spans="1:3" ht="14.25" thickBot="1" thickTop="1">
      <c r="A62" t="s">
        <v>112</v>
      </c>
      <c r="B62" s="11" t="s">
        <v>3</v>
      </c>
      <c r="C62" s="105" t="s">
        <v>4</v>
      </c>
    </row>
    <row r="63" spans="1:3" ht="13.5" thickTop="1">
      <c r="A63" s="1" t="s">
        <v>8</v>
      </c>
      <c r="B63" s="107">
        <f>B55</f>
        <v>320000</v>
      </c>
      <c r="C63" s="3">
        <f>C55+(10)*(15000)</f>
        <v>780000</v>
      </c>
    </row>
    <row r="64" spans="1:3" ht="12.75">
      <c r="A64" s="1" t="s">
        <v>9</v>
      </c>
      <c r="B64" s="3">
        <f>B56</f>
        <v>-10000</v>
      </c>
      <c r="C64" s="3">
        <f>C56-(10)*(15000)</f>
        <v>-160000</v>
      </c>
    </row>
    <row r="65" spans="1:3" ht="13.5" thickBot="1">
      <c r="A65" s="1" t="s">
        <v>110</v>
      </c>
      <c r="B65" s="4">
        <f>-B63-B64</f>
        <v>-310000</v>
      </c>
      <c r="C65" s="4">
        <f>-C63-C64</f>
        <v>-620000</v>
      </c>
    </row>
    <row r="66" spans="1:3" ht="14.25" thickBot="1" thickTop="1">
      <c r="A66" s="73" t="s">
        <v>113</v>
      </c>
      <c r="B66" s="110">
        <f>(B63-0)/B58</f>
        <v>32</v>
      </c>
      <c r="C66" s="110">
        <f>(C63-0)/C58</f>
        <v>31.2</v>
      </c>
    </row>
    <row r="67" ht="13.5" thickTop="1"/>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F194"/>
  <sheetViews>
    <sheetView workbookViewId="0" topLeftCell="A177">
      <selection activeCell="C190" sqref="C190"/>
    </sheetView>
  </sheetViews>
  <sheetFormatPr defaultColWidth="9.140625" defaultRowHeight="12.75"/>
  <cols>
    <col min="1" max="1" width="33.421875" style="0" bestFit="1" customWidth="1"/>
    <col min="2" max="3" width="28.421875" style="0" bestFit="1" customWidth="1"/>
    <col min="4" max="4" width="10.7109375" style="3" bestFit="1" customWidth="1"/>
    <col min="5" max="5" width="9.140625" style="3" customWidth="1"/>
  </cols>
  <sheetData>
    <row r="1" spans="1:3" ht="12.75">
      <c r="A1" s="1" t="s">
        <v>90</v>
      </c>
      <c r="B1" s="70">
        <v>0.3</v>
      </c>
      <c r="C1" s="2" t="s">
        <v>76</v>
      </c>
    </row>
    <row r="2" spans="1:3" ht="12.75">
      <c r="A2" t="s">
        <v>39</v>
      </c>
      <c r="B2" s="2"/>
      <c r="C2" s="2"/>
    </row>
    <row r="3" spans="1:3" ht="12.75">
      <c r="A3" t="s">
        <v>40</v>
      </c>
      <c r="B3" s="2"/>
      <c r="C3" s="2"/>
    </row>
    <row r="4" spans="1:3" ht="12.75">
      <c r="A4" t="s">
        <v>41</v>
      </c>
      <c r="B4" s="2"/>
      <c r="C4" s="2"/>
    </row>
    <row r="5" spans="1:3" ht="12.75">
      <c r="A5" t="s">
        <v>42</v>
      </c>
      <c r="B5" s="2"/>
      <c r="C5" s="2"/>
    </row>
    <row r="6" spans="1:3" ht="12.75">
      <c r="A6" t="s">
        <v>43</v>
      </c>
      <c r="B6" s="2"/>
      <c r="C6" s="3"/>
    </row>
    <row r="7" spans="1:3" ht="12.75">
      <c r="A7" t="s">
        <v>44</v>
      </c>
      <c r="B7" s="2"/>
      <c r="C7" s="3"/>
    </row>
    <row r="8" spans="1:3" ht="12.75">
      <c r="A8" t="s">
        <v>45</v>
      </c>
      <c r="B8" s="2"/>
      <c r="C8" s="3"/>
    </row>
    <row r="9" spans="1:3" ht="12.75">
      <c r="A9" t="s">
        <v>46</v>
      </c>
      <c r="B9" s="2"/>
      <c r="C9" s="3"/>
    </row>
    <row r="10" spans="1:3" ht="12.75">
      <c r="A10" t="s">
        <v>47</v>
      </c>
      <c r="B10" s="2"/>
      <c r="C10" s="3"/>
    </row>
    <row r="11" spans="1:3" ht="12.75">
      <c r="A11" t="s">
        <v>48</v>
      </c>
      <c r="B11" s="2"/>
      <c r="C11" s="3"/>
    </row>
    <row r="12" spans="2:3" ht="12.75">
      <c r="B12" s="2"/>
      <c r="C12" s="3"/>
    </row>
    <row r="13" spans="1:3" ht="12.75">
      <c r="A13" t="s">
        <v>53</v>
      </c>
      <c r="B13" s="2"/>
      <c r="C13" s="3"/>
    </row>
    <row r="14" spans="1:3" ht="12.75">
      <c r="A14" t="s">
        <v>49</v>
      </c>
      <c r="B14" s="2"/>
      <c r="C14" s="3"/>
    </row>
    <row r="15" spans="1:3" ht="12.75">
      <c r="A15" t="s">
        <v>50</v>
      </c>
      <c r="B15" s="2"/>
      <c r="C15" s="2"/>
    </row>
    <row r="16" spans="2:3" ht="12.75">
      <c r="B16" s="2"/>
      <c r="C16" s="2"/>
    </row>
    <row r="17" spans="1:3" ht="12.75">
      <c r="A17" s="56" t="s">
        <v>58</v>
      </c>
      <c r="B17" s="2"/>
      <c r="C17" s="3"/>
    </row>
    <row r="18" spans="1:3" ht="12.75">
      <c r="A18" s="1" t="s">
        <v>56</v>
      </c>
      <c r="B18" s="49">
        <v>15000</v>
      </c>
      <c r="C18" s="3"/>
    </row>
    <row r="19" spans="1:3" ht="12.75">
      <c r="A19" s="1" t="s">
        <v>57</v>
      </c>
      <c r="B19" s="35">
        <v>10</v>
      </c>
      <c r="C19" s="3"/>
    </row>
    <row r="20" spans="1:2" ht="12.75">
      <c r="A20" t="s">
        <v>51</v>
      </c>
      <c r="B20" s="50">
        <v>5</v>
      </c>
    </row>
    <row r="21" spans="1:2" ht="12.75">
      <c r="A21" s="1" t="s">
        <v>52</v>
      </c>
      <c r="B21" s="49">
        <v>10000</v>
      </c>
    </row>
    <row r="22" spans="1:3" ht="12.75">
      <c r="A22" s="1" t="s">
        <v>98</v>
      </c>
      <c r="B22" s="14">
        <v>0</v>
      </c>
      <c r="C22" t="s">
        <v>99</v>
      </c>
    </row>
    <row r="23" spans="1:3" ht="12.75">
      <c r="A23" s="1" t="s">
        <v>67</v>
      </c>
      <c r="B23" s="69">
        <f>B1</f>
        <v>0.3</v>
      </c>
      <c r="C23" s="68" t="s">
        <v>91</v>
      </c>
    </row>
    <row r="24" spans="1:2" ht="12.75">
      <c r="A24" s="56" t="s">
        <v>66</v>
      </c>
      <c r="B24" s="49"/>
    </row>
    <row r="25" spans="1:3" ht="12.75">
      <c r="A25" s="1" t="s">
        <v>71</v>
      </c>
      <c r="B25" s="88">
        <v>0.1</v>
      </c>
      <c r="C25" s="89" t="s">
        <v>92</v>
      </c>
    </row>
    <row r="26" spans="1:2" ht="12.75">
      <c r="A26" s="1" t="s">
        <v>64</v>
      </c>
      <c r="B26" s="35">
        <v>0</v>
      </c>
    </row>
    <row r="27" spans="1:2" ht="12.75">
      <c r="A27" s="1" t="s">
        <v>65</v>
      </c>
      <c r="B27" s="35">
        <v>0</v>
      </c>
    </row>
    <row r="28" spans="1:2" ht="12.75">
      <c r="A28" s="50" t="s">
        <v>69</v>
      </c>
      <c r="B28" s="49"/>
    </row>
    <row r="29" spans="1:2" ht="13.5" thickBot="1">
      <c r="A29" s="56" t="s">
        <v>89</v>
      </c>
      <c r="B29" s="49"/>
    </row>
    <row r="30" spans="1:3" ht="14.25" thickBot="1" thickTop="1">
      <c r="A30" s="1" t="s">
        <v>59</v>
      </c>
      <c r="B30" s="52" t="s">
        <v>60</v>
      </c>
      <c r="C30" s="53" t="s">
        <v>61</v>
      </c>
    </row>
    <row r="31" spans="1:3" ht="13.5" thickTop="1">
      <c r="A31" s="1">
        <v>1</v>
      </c>
      <c r="B31" s="25">
        <v>0</v>
      </c>
      <c r="C31" s="26">
        <v>30000</v>
      </c>
    </row>
    <row r="32" spans="1:3" ht="12.75">
      <c r="A32" s="1">
        <v>2</v>
      </c>
      <c r="B32" s="18">
        <v>0</v>
      </c>
      <c r="C32" s="19">
        <v>60000</v>
      </c>
    </row>
    <row r="33" spans="1:3" ht="12.75">
      <c r="A33" s="1">
        <v>3</v>
      </c>
      <c r="B33" s="18">
        <v>0</v>
      </c>
      <c r="C33" s="19">
        <v>120000</v>
      </c>
    </row>
    <row r="34" spans="1:3" ht="12.75">
      <c r="A34" s="1">
        <v>4</v>
      </c>
      <c r="B34" s="18">
        <v>250000</v>
      </c>
      <c r="C34" s="19">
        <v>50000</v>
      </c>
    </row>
    <row r="35" spans="1:3" ht="13.5" thickBot="1">
      <c r="A35" s="1">
        <v>5</v>
      </c>
      <c r="B35" s="20">
        <v>500000</v>
      </c>
      <c r="C35" s="10">
        <v>0</v>
      </c>
    </row>
    <row r="36" spans="1:2" ht="13.5" thickTop="1">
      <c r="A36" s="1"/>
      <c r="B36" s="49"/>
    </row>
    <row r="37" spans="2:5" ht="13.5" thickBot="1">
      <c r="B37" s="2"/>
      <c r="C37" s="2"/>
      <c r="D37" s="46" t="s">
        <v>21</v>
      </c>
      <c r="E37" s="46" t="s">
        <v>21</v>
      </c>
    </row>
    <row r="38" spans="1:5" ht="15.75" customHeight="1" thickTop="1">
      <c r="A38" s="6"/>
      <c r="B38" s="7" t="s">
        <v>0</v>
      </c>
      <c r="C38" s="54" t="s">
        <v>68</v>
      </c>
      <c r="D38" s="47" t="s">
        <v>21</v>
      </c>
      <c r="E38" s="48" t="s">
        <v>21</v>
      </c>
    </row>
    <row r="39" spans="1:5" ht="13.5" thickBot="1">
      <c r="A39" s="8" t="s">
        <v>21</v>
      </c>
      <c r="B39" s="9" t="s">
        <v>1</v>
      </c>
      <c r="C39" s="16" t="s">
        <v>62</v>
      </c>
      <c r="D39" s="47" t="s">
        <v>21</v>
      </c>
      <c r="E39" s="48" t="s">
        <v>21</v>
      </c>
    </row>
    <row r="40" spans="1:5" ht="14.25" thickBot="1" thickTop="1">
      <c r="A40" t="s">
        <v>2</v>
      </c>
      <c r="B40" s="11" t="s">
        <v>3</v>
      </c>
      <c r="C40" s="17" t="s">
        <v>4</v>
      </c>
      <c r="D40" s="47" t="s">
        <v>21</v>
      </c>
      <c r="E40" s="48" t="s">
        <v>21</v>
      </c>
    </row>
    <row r="41" spans="1:3" ht="13.5" thickTop="1">
      <c r="A41" s="1" t="s">
        <v>101</v>
      </c>
      <c r="B41" s="3">
        <v>20000</v>
      </c>
      <c r="C41" s="3">
        <f>B41</f>
        <v>20000</v>
      </c>
    </row>
    <row r="42" spans="1:3" ht="12.75">
      <c r="A42" s="1" t="s">
        <v>100</v>
      </c>
      <c r="B42" s="3">
        <f>$B$25*$B$21</f>
        <v>1000</v>
      </c>
      <c r="C42" s="3">
        <f>$B$25*$B$21</f>
        <v>1000</v>
      </c>
    </row>
    <row r="43" spans="1:3" ht="13.5" thickBot="1">
      <c r="A43" s="1" t="s">
        <v>6</v>
      </c>
      <c r="B43" s="5">
        <f>0.5*B41</f>
        <v>10000</v>
      </c>
      <c r="C43" s="5">
        <v>0</v>
      </c>
    </row>
    <row r="44" spans="1:3" ht="13.5" thickTop="1">
      <c r="A44" s="1" t="s">
        <v>13</v>
      </c>
      <c r="B44" s="13">
        <f>B41+B42-B43</f>
        <v>11000</v>
      </c>
      <c r="C44" s="13">
        <f>C41+C42-C43</f>
        <v>21000</v>
      </c>
    </row>
    <row r="45" spans="1:3" ht="13.5" thickBot="1">
      <c r="A45" s="1" t="s">
        <v>12</v>
      </c>
      <c r="B45" s="5">
        <f>$B$1*B44</f>
        <v>3300</v>
      </c>
      <c r="C45" s="5">
        <f>$B$1*C44</f>
        <v>6300</v>
      </c>
    </row>
    <row r="46" spans="1:3" ht="14.25" thickBot="1" thickTop="1">
      <c r="A46" s="1" t="s">
        <v>7</v>
      </c>
      <c r="B46" s="4">
        <f>B44-B45</f>
        <v>7700</v>
      </c>
      <c r="C46" s="4">
        <f>C44-C45</f>
        <v>14700</v>
      </c>
    </row>
    <row r="47" spans="1:3" ht="13.5" thickTop="1">
      <c r="A47" s="1" t="s">
        <v>8</v>
      </c>
      <c r="B47" s="3">
        <f>B46+10000</f>
        <v>17700</v>
      </c>
      <c r="C47" s="3">
        <f>C46+10000</f>
        <v>24700</v>
      </c>
    </row>
    <row r="48" spans="1:3" ht="12.75">
      <c r="A48" s="1" t="s">
        <v>9</v>
      </c>
      <c r="B48" s="3">
        <f>-$B$21</f>
        <v>-10000</v>
      </c>
      <c r="C48" s="3">
        <f>-$B$21</f>
        <v>-10000</v>
      </c>
    </row>
    <row r="49" spans="1:3" ht="13.5" thickBot="1">
      <c r="A49" s="1" t="s">
        <v>10</v>
      </c>
      <c r="B49" s="4">
        <f>-B47-B48</f>
        <v>-7700</v>
      </c>
      <c r="C49" s="4">
        <f>-C47-C48</f>
        <v>-14700</v>
      </c>
    </row>
    <row r="50" spans="1:5" ht="14.25" thickBot="1" thickTop="1">
      <c r="A50" s="1" t="s">
        <v>14</v>
      </c>
      <c r="B50" s="15">
        <f>$B$21</f>
        <v>10000</v>
      </c>
      <c r="C50" s="15">
        <f>$B$21</f>
        <v>10000</v>
      </c>
      <c r="D50" s="30" t="s">
        <v>22</v>
      </c>
      <c r="E50" s="29"/>
    </row>
    <row r="51" spans="1:5" ht="14.25" thickBot="1" thickTop="1">
      <c r="A51" s="1" t="s">
        <v>11</v>
      </c>
      <c r="B51" s="12">
        <f>B46/B50</f>
        <v>0.77</v>
      </c>
      <c r="C51" s="12">
        <f>C46/C50</f>
        <v>1.47</v>
      </c>
      <c r="D51" s="25" t="s">
        <v>20</v>
      </c>
      <c r="E51" s="26" t="s">
        <v>15</v>
      </c>
    </row>
    <row r="52" spans="1:5" ht="14.25" thickBot="1" thickTop="1">
      <c r="A52" s="1" t="s">
        <v>16</v>
      </c>
      <c r="B52" s="3">
        <v>0</v>
      </c>
      <c r="C52" s="3">
        <f>E52+F52</f>
        <v>30000</v>
      </c>
      <c r="D52" s="33">
        <f>B31</f>
        <v>0</v>
      </c>
      <c r="E52" s="34">
        <f>C31</f>
        <v>30000</v>
      </c>
    </row>
    <row r="53" spans="1:5" ht="14.25" thickBot="1" thickTop="1">
      <c r="A53" s="21"/>
      <c r="B53" s="21"/>
      <c r="C53" s="21"/>
      <c r="D53" s="24"/>
      <c r="E53" s="24"/>
    </row>
    <row r="54" spans="1:5" ht="14.25" thickBot="1" thickTop="1">
      <c r="A54" t="s">
        <v>17</v>
      </c>
      <c r="B54" s="11" t="s">
        <v>3</v>
      </c>
      <c r="C54" s="17" t="s">
        <v>4</v>
      </c>
      <c r="D54" s="27" t="s">
        <v>21</v>
      </c>
      <c r="E54" s="28" t="s">
        <v>21</v>
      </c>
    </row>
    <row r="55" spans="1:3" ht="13.5" thickTop="1">
      <c r="A55" s="1" t="s">
        <v>101</v>
      </c>
      <c r="B55" s="3">
        <f>2*B41</f>
        <v>40000</v>
      </c>
      <c r="C55" s="3">
        <f>B55</f>
        <v>40000</v>
      </c>
    </row>
    <row r="56" spans="1:3" ht="12.75">
      <c r="A56" s="1" t="s">
        <v>100</v>
      </c>
      <c r="B56" s="3">
        <f>$B$25*B47</f>
        <v>1770</v>
      </c>
      <c r="C56" s="3">
        <f>$B$25*C47</f>
        <v>2470</v>
      </c>
    </row>
    <row r="57" spans="1:3" ht="13.5" thickBot="1">
      <c r="A57" s="1" t="s">
        <v>6</v>
      </c>
      <c r="B57" s="5">
        <f>0.5*B55</f>
        <v>20000</v>
      </c>
      <c r="C57" s="5">
        <v>0</v>
      </c>
    </row>
    <row r="58" spans="1:3" ht="13.5" thickTop="1">
      <c r="A58" s="1" t="s">
        <v>13</v>
      </c>
      <c r="B58" s="13">
        <f>B55+B56-B57</f>
        <v>21770</v>
      </c>
      <c r="C58" s="13">
        <f>C55+C56-C57</f>
        <v>42470</v>
      </c>
    </row>
    <row r="59" spans="1:3" ht="13.5" thickBot="1">
      <c r="A59" s="1" t="s">
        <v>12</v>
      </c>
      <c r="B59" s="5">
        <f>$B$1*B58</f>
        <v>6531</v>
      </c>
      <c r="C59" s="5">
        <f>$B$1*C58</f>
        <v>12741</v>
      </c>
    </row>
    <row r="60" spans="1:3" ht="14.25" thickBot="1" thickTop="1">
      <c r="A60" s="1" t="s">
        <v>7</v>
      </c>
      <c r="B60" s="4">
        <f>B58-B59</f>
        <v>15239</v>
      </c>
      <c r="C60" s="4">
        <f>C58-C59</f>
        <v>29729</v>
      </c>
    </row>
    <row r="61" spans="1:3" ht="13.5" thickTop="1">
      <c r="A61" s="1" t="s">
        <v>8</v>
      </c>
      <c r="B61" s="3">
        <f>B47+B60</f>
        <v>32939</v>
      </c>
      <c r="C61" s="3">
        <f>C47+C60</f>
        <v>54429</v>
      </c>
    </row>
    <row r="62" spans="1:3" ht="12.75">
      <c r="A62" s="1" t="s">
        <v>9</v>
      </c>
      <c r="B62" s="3">
        <f>-$B$21</f>
        <v>-10000</v>
      </c>
      <c r="C62" s="3">
        <f>-$B$21</f>
        <v>-10000</v>
      </c>
    </row>
    <row r="63" spans="1:3" ht="13.5" thickBot="1">
      <c r="A63" s="1" t="s">
        <v>10</v>
      </c>
      <c r="B63" s="4">
        <f>-B61-B62</f>
        <v>-22939</v>
      </c>
      <c r="C63" s="4">
        <f>-C61-C62</f>
        <v>-44429</v>
      </c>
    </row>
    <row r="64" spans="1:5" ht="14.25" thickBot="1" thickTop="1">
      <c r="A64" s="1" t="s">
        <v>14</v>
      </c>
      <c r="B64" s="15">
        <f>$B$21</f>
        <v>10000</v>
      </c>
      <c r="C64" s="15">
        <f>$B$21</f>
        <v>10000</v>
      </c>
      <c r="D64" s="30" t="s">
        <v>22</v>
      </c>
      <c r="E64" s="29"/>
    </row>
    <row r="65" spans="1:5" ht="14.25" thickBot="1" thickTop="1">
      <c r="A65" s="1" t="s">
        <v>11</v>
      </c>
      <c r="B65" s="12">
        <f>B60/B64</f>
        <v>1.5239</v>
      </c>
      <c r="C65" s="12">
        <f>C60/C64</f>
        <v>2.9729</v>
      </c>
      <c r="D65" s="25" t="s">
        <v>20</v>
      </c>
      <c r="E65" s="26" t="s">
        <v>15</v>
      </c>
    </row>
    <row r="66" spans="1:5" ht="14.25" thickBot="1" thickTop="1">
      <c r="A66" s="1" t="s">
        <v>16</v>
      </c>
      <c r="B66" s="3">
        <v>0</v>
      </c>
      <c r="C66" s="3">
        <f>D66+E66</f>
        <v>60000</v>
      </c>
      <c r="D66" s="33">
        <f>B32</f>
        <v>0</v>
      </c>
      <c r="E66" s="34">
        <f>C32</f>
        <v>60000</v>
      </c>
    </row>
    <row r="67" spans="1:5" ht="14.25" thickBot="1" thickTop="1">
      <c r="A67" s="21"/>
      <c r="B67" s="21"/>
      <c r="C67" s="21"/>
      <c r="D67" s="24"/>
      <c r="E67" s="24"/>
    </row>
    <row r="68" spans="1:5" ht="14.25" thickBot="1" thickTop="1">
      <c r="A68" t="s">
        <v>18</v>
      </c>
      <c r="B68" s="11" t="s">
        <v>3</v>
      </c>
      <c r="C68" s="17" t="s">
        <v>4</v>
      </c>
      <c r="D68" s="27" t="s">
        <v>21</v>
      </c>
      <c r="E68" s="28" t="s">
        <v>21</v>
      </c>
    </row>
    <row r="69" spans="1:3" ht="13.5" thickTop="1">
      <c r="A69" s="1" t="s">
        <v>101</v>
      </c>
      <c r="B69" s="3">
        <f>2*B55</f>
        <v>80000</v>
      </c>
      <c r="C69" s="3">
        <f>B69</f>
        <v>80000</v>
      </c>
    </row>
    <row r="70" spans="1:3" ht="12.75">
      <c r="A70" s="1" t="s">
        <v>100</v>
      </c>
      <c r="B70" s="3">
        <f>$B$25*B61</f>
        <v>3293.9</v>
      </c>
      <c r="C70" s="3">
        <f>$B$25*C61</f>
        <v>5442.900000000001</v>
      </c>
    </row>
    <row r="71" spans="1:3" ht="13.5" thickBot="1">
      <c r="A71" s="1" t="s">
        <v>6</v>
      </c>
      <c r="B71" s="5">
        <f>0.5*B69</f>
        <v>40000</v>
      </c>
      <c r="C71" s="5">
        <v>0</v>
      </c>
    </row>
    <row r="72" spans="1:3" ht="13.5" thickTop="1">
      <c r="A72" s="1" t="s">
        <v>13</v>
      </c>
      <c r="B72" s="13">
        <f>B69+B70-B71</f>
        <v>43293.899999999994</v>
      </c>
      <c r="C72" s="13">
        <f>C69+C70-C71</f>
        <v>85442.9</v>
      </c>
    </row>
    <row r="73" spans="1:3" ht="13.5" thickBot="1">
      <c r="A73" s="1" t="s">
        <v>12</v>
      </c>
      <c r="B73" s="5">
        <f>$B$1*B72</f>
        <v>12988.169999999998</v>
      </c>
      <c r="C73" s="5">
        <f>$B$1*C72</f>
        <v>25632.87</v>
      </c>
    </row>
    <row r="74" spans="1:3" ht="14.25" thickBot="1" thickTop="1">
      <c r="A74" s="1" t="s">
        <v>7</v>
      </c>
      <c r="B74" s="4">
        <f>B72-B73</f>
        <v>30305.729999999996</v>
      </c>
      <c r="C74" s="4">
        <f>C72-C73</f>
        <v>59810.03</v>
      </c>
    </row>
    <row r="75" spans="1:3" ht="13.5" thickTop="1">
      <c r="A75" s="1" t="s">
        <v>8</v>
      </c>
      <c r="B75" s="3">
        <f>B61+B74</f>
        <v>63244.729999999996</v>
      </c>
      <c r="C75" s="3">
        <f>C61+C74</f>
        <v>114239.03</v>
      </c>
    </row>
    <row r="76" spans="1:3" ht="12.75">
      <c r="A76" s="1" t="s">
        <v>9</v>
      </c>
      <c r="B76" s="3">
        <f>-$B$21</f>
        <v>-10000</v>
      </c>
      <c r="C76" s="3">
        <f>-$B$21</f>
        <v>-10000</v>
      </c>
    </row>
    <row r="77" spans="1:3" ht="13.5" thickBot="1">
      <c r="A77" s="1" t="s">
        <v>10</v>
      </c>
      <c r="B77" s="4">
        <f>-B75-B76</f>
        <v>-53244.729999999996</v>
      </c>
      <c r="C77" s="4">
        <f>-C75-C76</f>
        <v>-104239.03</v>
      </c>
    </row>
    <row r="78" spans="1:5" ht="14.25" thickBot="1" thickTop="1">
      <c r="A78" s="1" t="s">
        <v>14</v>
      </c>
      <c r="B78" s="15">
        <f>$B$21</f>
        <v>10000</v>
      </c>
      <c r="C78" s="15">
        <f>$B$21</f>
        <v>10000</v>
      </c>
      <c r="D78" s="30" t="s">
        <v>22</v>
      </c>
      <c r="E78" s="29"/>
    </row>
    <row r="79" spans="1:5" ht="14.25" thickBot="1" thickTop="1">
      <c r="A79" s="1" t="s">
        <v>11</v>
      </c>
      <c r="B79" s="12">
        <f>B74/B78</f>
        <v>3.0305729999999995</v>
      </c>
      <c r="C79" s="12">
        <f>C74/C78</f>
        <v>5.981003</v>
      </c>
      <c r="D79" s="31" t="s">
        <v>20</v>
      </c>
      <c r="E79" s="32" t="s">
        <v>15</v>
      </c>
    </row>
    <row r="80" spans="1:5" ht="14.25" thickBot="1" thickTop="1">
      <c r="A80" s="1" t="s">
        <v>16</v>
      </c>
      <c r="B80" s="3">
        <v>0</v>
      </c>
      <c r="C80" s="3">
        <f>D80+E80</f>
        <v>120000</v>
      </c>
      <c r="D80" s="22">
        <f>B33</f>
        <v>0</v>
      </c>
      <c r="E80" s="23">
        <f>C33</f>
        <v>120000</v>
      </c>
    </row>
    <row r="81" spans="1:5" ht="14.25" thickBot="1" thickTop="1">
      <c r="A81" s="21"/>
      <c r="B81" s="21"/>
      <c r="C81" s="21"/>
      <c r="D81" s="24"/>
      <c r="E81" s="24"/>
    </row>
    <row r="82" spans="1:5" ht="14.25" thickBot="1" thickTop="1">
      <c r="A82" t="s">
        <v>19</v>
      </c>
      <c r="B82" s="11" t="s">
        <v>3</v>
      </c>
      <c r="C82" s="17" t="s">
        <v>4</v>
      </c>
      <c r="D82" s="27" t="s">
        <v>21</v>
      </c>
      <c r="E82" s="28" t="s">
        <v>21</v>
      </c>
    </row>
    <row r="83" spans="1:3" ht="13.5" thickTop="1">
      <c r="A83" s="1" t="s">
        <v>101</v>
      </c>
      <c r="B83" s="3">
        <f>2*B69</f>
        <v>160000</v>
      </c>
      <c r="C83" s="3">
        <f>B83</f>
        <v>160000</v>
      </c>
    </row>
    <row r="84" spans="1:3" ht="12.75">
      <c r="A84" s="1" t="s">
        <v>100</v>
      </c>
      <c r="B84" s="3">
        <f>$B$25*B75</f>
        <v>6324.473</v>
      </c>
      <c r="C84" s="3">
        <f>$B$25*C75</f>
        <v>11423.903</v>
      </c>
    </row>
    <row r="85" spans="1:3" ht="13.5" thickBot="1">
      <c r="A85" s="1" t="s">
        <v>6</v>
      </c>
      <c r="B85" s="5">
        <f>0.5*B83</f>
        <v>80000</v>
      </c>
      <c r="C85" s="5">
        <v>0</v>
      </c>
    </row>
    <row r="86" spans="1:3" ht="13.5" thickTop="1">
      <c r="A86" s="1" t="s">
        <v>13</v>
      </c>
      <c r="B86" s="13">
        <f>B83+B84-B85</f>
        <v>86324.473</v>
      </c>
      <c r="C86" s="13">
        <f>C83+C84-C85</f>
        <v>171423.903</v>
      </c>
    </row>
    <row r="87" spans="1:3" ht="13.5" thickBot="1">
      <c r="A87" s="1" t="s">
        <v>12</v>
      </c>
      <c r="B87" s="5">
        <f>$B$1*B86</f>
        <v>25897.3419</v>
      </c>
      <c r="C87" s="5">
        <f>$B$1*C86</f>
        <v>51427.1709</v>
      </c>
    </row>
    <row r="88" spans="1:3" ht="14.25" thickBot="1" thickTop="1">
      <c r="A88" s="1" t="s">
        <v>7</v>
      </c>
      <c r="B88" s="4">
        <f>B86-B87</f>
        <v>60427.1311</v>
      </c>
      <c r="C88" s="4">
        <f>C86-C87</f>
        <v>119996.7321</v>
      </c>
    </row>
    <row r="89" spans="1:3" ht="13.5" thickTop="1">
      <c r="A89" s="1" t="s">
        <v>8</v>
      </c>
      <c r="B89" s="3">
        <f>B75+B88</f>
        <v>123671.8611</v>
      </c>
      <c r="C89" s="3">
        <f>C75+C88</f>
        <v>234235.7621</v>
      </c>
    </row>
    <row r="90" spans="1:3" ht="12.75">
      <c r="A90" s="1" t="s">
        <v>9</v>
      </c>
      <c r="B90" s="3">
        <f>-$B$21</f>
        <v>-10000</v>
      </c>
      <c r="C90" s="3">
        <f>-$B$21</f>
        <v>-10000</v>
      </c>
    </row>
    <row r="91" spans="1:3" ht="13.5" thickBot="1">
      <c r="A91" s="1" t="s">
        <v>10</v>
      </c>
      <c r="B91" s="4">
        <f>-B89-B90</f>
        <v>-113671.8611</v>
      </c>
      <c r="C91" s="4">
        <f>-C89-C90</f>
        <v>-224235.7621</v>
      </c>
    </row>
    <row r="92" spans="1:5" ht="14.25" thickBot="1" thickTop="1">
      <c r="A92" s="1" t="s">
        <v>14</v>
      </c>
      <c r="B92" s="15">
        <f>$B$21</f>
        <v>10000</v>
      </c>
      <c r="C92" s="15">
        <f>$B$21</f>
        <v>10000</v>
      </c>
      <c r="D92" s="30" t="s">
        <v>22</v>
      </c>
      <c r="E92" s="29"/>
    </row>
    <row r="93" spans="1:5" ht="14.25" thickBot="1" thickTop="1">
      <c r="A93" s="1" t="s">
        <v>11</v>
      </c>
      <c r="B93" s="12">
        <f>B88/B92</f>
        <v>6.04271311</v>
      </c>
      <c r="C93" s="12">
        <f>C88/C92</f>
        <v>11.99967321</v>
      </c>
      <c r="D93" s="31" t="s">
        <v>20</v>
      </c>
      <c r="E93" s="32" t="s">
        <v>15</v>
      </c>
    </row>
    <row r="94" spans="1:5" ht="14.25" thickBot="1" thickTop="1">
      <c r="A94" s="1" t="s">
        <v>16</v>
      </c>
      <c r="B94" s="3">
        <v>0</v>
      </c>
      <c r="C94" s="3">
        <f>D94+E94</f>
        <v>300000</v>
      </c>
      <c r="D94" s="33">
        <f>B34</f>
        <v>250000</v>
      </c>
      <c r="E94" s="34">
        <f>C34</f>
        <v>50000</v>
      </c>
    </row>
    <row r="95" spans="1:5" ht="14.25" thickBot="1" thickTop="1">
      <c r="A95" s="21"/>
      <c r="B95" s="21"/>
      <c r="C95" s="21"/>
      <c r="D95" s="24"/>
      <c r="E95" s="24"/>
    </row>
    <row r="96" spans="1:5" ht="14.25" thickBot="1" thickTop="1">
      <c r="A96" t="s">
        <v>23</v>
      </c>
      <c r="B96" s="11" t="s">
        <v>3</v>
      </c>
      <c r="C96" s="17" t="s">
        <v>4</v>
      </c>
      <c r="D96" s="27" t="s">
        <v>21</v>
      </c>
      <c r="E96" s="28" t="s">
        <v>21</v>
      </c>
    </row>
    <row r="97" spans="1:3" ht="13.5" thickTop="1">
      <c r="A97" s="1" t="s">
        <v>101</v>
      </c>
      <c r="B97" s="3">
        <f>2*B83</f>
        <v>320000</v>
      </c>
      <c r="C97" s="3">
        <f>B97</f>
        <v>320000</v>
      </c>
    </row>
    <row r="98" spans="1:3" ht="12.75">
      <c r="A98" s="1" t="s">
        <v>100</v>
      </c>
      <c r="B98" s="3">
        <f>$B$25*B89</f>
        <v>12367.18611</v>
      </c>
      <c r="C98" s="3">
        <f>$B$25*C89</f>
        <v>23423.57621</v>
      </c>
    </row>
    <row r="99" spans="1:3" ht="13.5" thickBot="1">
      <c r="A99" s="1" t="s">
        <v>6</v>
      </c>
      <c r="B99" s="5">
        <f>0.5*B97</f>
        <v>160000</v>
      </c>
      <c r="C99" s="5">
        <v>0</v>
      </c>
    </row>
    <row r="100" spans="1:3" ht="13.5" thickTop="1">
      <c r="A100" s="1" t="s">
        <v>13</v>
      </c>
      <c r="B100" s="13">
        <f>B97+B98-B99</f>
        <v>172367.18611</v>
      </c>
      <c r="C100" s="13">
        <f>C97+C98-C99</f>
        <v>343423.57620999997</v>
      </c>
    </row>
    <row r="101" spans="1:4" ht="13.5" thickBot="1">
      <c r="A101" s="1" t="s">
        <v>12</v>
      </c>
      <c r="B101" s="5">
        <f>$B$1*B100</f>
        <v>51710.155833000004</v>
      </c>
      <c r="C101" s="5">
        <f>$B$1*C100</f>
        <v>103027.072863</v>
      </c>
      <c r="D101" s="3" t="s">
        <v>21</v>
      </c>
    </row>
    <row r="102" spans="1:4" ht="14.25" thickBot="1" thickTop="1">
      <c r="A102" s="1" t="s">
        <v>7</v>
      </c>
      <c r="B102" s="4">
        <f>B100-B101</f>
        <v>120657.03027700001</v>
      </c>
      <c r="C102" s="4">
        <f>C100-C101</f>
        <v>240396.503347</v>
      </c>
      <c r="D102" s="3" t="s">
        <v>21</v>
      </c>
    </row>
    <row r="103" spans="1:5" ht="13.5" thickTop="1">
      <c r="A103" s="1" t="s">
        <v>8</v>
      </c>
      <c r="B103" s="3">
        <f>B89+B102</f>
        <v>244328.89137700002</v>
      </c>
      <c r="C103" s="3">
        <f>C89+C102+$B$18*$B$19-D121</f>
        <v>727659.33831</v>
      </c>
      <c r="D103" s="112" t="s">
        <v>21</v>
      </c>
      <c r="E103" s="113"/>
    </row>
    <row r="104" spans="1:5" ht="12.75">
      <c r="A104" s="1" t="s">
        <v>9</v>
      </c>
      <c r="B104" s="3">
        <f>-$B$21</f>
        <v>-10000</v>
      </c>
      <c r="C104" s="3">
        <f>IF(C101&lt;=$B$1*D108,-(B21+B18*B19+C101),-(B21+B18*B19+$B$1*D108))</f>
        <v>-263027.072863</v>
      </c>
      <c r="D104" s="113">
        <f>IF((-C104+$C$90-$B$1*$D$108)&lt;=0,0,(-C104+$C$90-$B$1*$D$108))</f>
        <v>103027.07286299998</v>
      </c>
      <c r="E104" s="114" t="s">
        <v>118</v>
      </c>
    </row>
    <row r="105" spans="1:4" ht="13.5" thickBot="1">
      <c r="A105" s="1" t="s">
        <v>10</v>
      </c>
      <c r="B105" s="4">
        <f>-B103-B104</f>
        <v>-234328.89137700002</v>
      </c>
      <c r="C105" s="4">
        <f>-C103-C104</f>
        <v>-464632.26544700004</v>
      </c>
      <c r="D105" s="3" t="s">
        <v>21</v>
      </c>
    </row>
    <row r="106" spans="1:5" ht="14.25" thickBot="1" thickTop="1">
      <c r="A106" s="1" t="s">
        <v>14</v>
      </c>
      <c r="B106" s="15">
        <f>B21</f>
        <v>10000</v>
      </c>
      <c r="C106" s="15">
        <f>B18+B21</f>
        <v>25000</v>
      </c>
      <c r="D106" s="30" t="s">
        <v>22</v>
      </c>
      <c r="E106" s="29"/>
    </row>
    <row r="107" spans="1:5" ht="14.25" thickBot="1" thickTop="1">
      <c r="A107" s="1" t="s">
        <v>11</v>
      </c>
      <c r="B107" s="12">
        <f>B102/B106</f>
        <v>12.065703027700001</v>
      </c>
      <c r="C107" s="12">
        <f>C102/C106</f>
        <v>9.61586013388</v>
      </c>
      <c r="D107" s="31" t="s">
        <v>20</v>
      </c>
      <c r="E107" s="32" t="s">
        <v>15</v>
      </c>
    </row>
    <row r="108" spans="1:5" ht="14.25" thickBot="1" thickTop="1">
      <c r="A108" s="1" t="s">
        <v>24</v>
      </c>
      <c r="B108" s="3">
        <v>0</v>
      </c>
      <c r="C108" s="3">
        <f>D108+E108</f>
        <v>500000</v>
      </c>
      <c r="D108" s="33">
        <f>B35</f>
        <v>500000</v>
      </c>
      <c r="E108" s="34">
        <f>C35</f>
        <v>0</v>
      </c>
    </row>
    <row r="109" spans="1:5" ht="14.25" thickBot="1" thickTop="1">
      <c r="A109" s="1" t="s">
        <v>25</v>
      </c>
      <c r="C109" s="3">
        <f>D109+E109</f>
        <v>0</v>
      </c>
      <c r="D109" s="33">
        <v>0</v>
      </c>
      <c r="E109" s="34">
        <v>0</v>
      </c>
    </row>
    <row r="110" spans="1:5" ht="13.5" thickTop="1">
      <c r="A110" s="1" t="s">
        <v>32</v>
      </c>
      <c r="B110" s="45">
        <f>(B103-0)/B106</f>
        <v>24.432889137700002</v>
      </c>
      <c r="C110" s="45">
        <f>(C103-0)/C106</f>
        <v>29.1063735324</v>
      </c>
      <c r="E110" s="28"/>
    </row>
    <row r="111" spans="1:5" ht="12.75">
      <c r="A111" s="1"/>
      <c r="B111" s="45"/>
      <c r="C111" s="45"/>
      <c r="E111" s="28"/>
    </row>
    <row r="112" ht="12.75">
      <c r="B112" s="71" t="s">
        <v>21</v>
      </c>
    </row>
    <row r="113" spans="1:4" ht="13.5" thickBot="1">
      <c r="A113" s="1" t="s">
        <v>21</v>
      </c>
      <c r="D113" s="1" t="s">
        <v>28</v>
      </c>
    </row>
    <row r="114" spans="2:4" ht="13.5" thickTop="1">
      <c r="B114" s="36"/>
      <c r="C114" s="37" t="s">
        <v>104</v>
      </c>
      <c r="D114" s="42">
        <v>780000</v>
      </c>
    </row>
    <row r="115" spans="2:4" ht="12.75">
      <c r="B115" s="38"/>
      <c r="C115" s="39" t="s">
        <v>102</v>
      </c>
      <c r="D115" s="87">
        <f>C42+C56+C70+C84+C98</f>
        <v>43760.37921</v>
      </c>
    </row>
    <row r="116" spans="2:6" ht="13.5" thickBot="1">
      <c r="B116" s="38"/>
      <c r="C116" s="39" t="s">
        <v>54</v>
      </c>
      <c r="D116" s="43">
        <f>-($C45+$C59+$C73+$C87+$C101)-D121</f>
        <v>-96101.0409</v>
      </c>
      <c r="F116" s="2" t="s">
        <v>21</v>
      </c>
    </row>
    <row r="117" spans="2:4" ht="14.25" thickBot="1" thickTop="1">
      <c r="B117" s="40"/>
      <c r="C117" s="41" t="s">
        <v>26</v>
      </c>
      <c r="D117" s="44">
        <f>SUM(D114:D116)</f>
        <v>727659.33831</v>
      </c>
    </row>
    <row r="118" ht="13.5" thickTop="1"/>
    <row r="119" ht="13.5" thickBot="1">
      <c r="D119" s="1" t="s">
        <v>29</v>
      </c>
    </row>
    <row r="120" spans="2:4" ht="13.5" thickTop="1">
      <c r="B120" s="36"/>
      <c r="C120" s="37" t="s">
        <v>105</v>
      </c>
      <c r="D120" s="42">
        <v>-160000</v>
      </c>
    </row>
    <row r="121" spans="2:4" ht="13.5" thickBot="1">
      <c r="B121" s="38"/>
      <c r="C121" s="39" t="s">
        <v>63</v>
      </c>
      <c r="D121" s="43">
        <f>IF(C101&lt;=B$1*D108,-C101,-B$1*D108)</f>
        <v>-103027.072863</v>
      </c>
    </row>
    <row r="122" spans="2:4" ht="14.25" thickBot="1" thickTop="1">
      <c r="B122" s="40"/>
      <c r="C122" s="41" t="s">
        <v>27</v>
      </c>
      <c r="D122" s="44">
        <f>SUM(D120:D121)</f>
        <v>-263027.072863</v>
      </c>
    </row>
    <row r="123" ht="13.5" thickTop="1">
      <c r="C123" s="2"/>
    </row>
    <row r="124" ht="13.5" thickBot="1">
      <c r="D124" s="1" t="s">
        <v>30</v>
      </c>
    </row>
    <row r="125" spans="2:5" ht="13.5" thickTop="1">
      <c r="B125" s="36"/>
      <c r="C125" s="37" t="s">
        <v>103</v>
      </c>
      <c r="D125" s="42">
        <v>-620000</v>
      </c>
      <c r="E125" s="3" t="s">
        <v>21</v>
      </c>
    </row>
    <row r="126" spans="2:5" ht="12.75">
      <c r="B126" s="38"/>
      <c r="C126" s="39" t="s">
        <v>102</v>
      </c>
      <c r="D126" s="87">
        <f>-(C42+C56+C70+C84+C98)</f>
        <v>-43760.37921</v>
      </c>
      <c r="E126" s="3" t="s">
        <v>21</v>
      </c>
    </row>
    <row r="127" spans="2:5" ht="13.5" thickBot="1">
      <c r="B127" s="38"/>
      <c r="C127" s="39" t="s">
        <v>55</v>
      </c>
      <c r="D127" s="87">
        <f>$C45+$C59+$C73+$C87+$C101</f>
        <v>199128.113763</v>
      </c>
      <c r="E127" s="3" t="s">
        <v>21</v>
      </c>
    </row>
    <row r="128" spans="2:5" ht="14.25" thickBot="1" thickTop="1">
      <c r="B128" s="40"/>
      <c r="C128" s="41" t="s">
        <v>31</v>
      </c>
      <c r="D128" s="44">
        <f>SUM(D125:D127)</f>
        <v>-464632.26544700004</v>
      </c>
      <c r="E128" s="3" t="s">
        <v>21</v>
      </c>
    </row>
    <row r="129" spans="2:4" ht="13.5" thickTop="1">
      <c r="B129" t="s">
        <v>34</v>
      </c>
      <c r="C129" s="2"/>
      <c r="D129" s="3" t="s">
        <v>21</v>
      </c>
    </row>
    <row r="130" spans="2:3" ht="12.75">
      <c r="B130" t="s">
        <v>35</v>
      </c>
      <c r="C130" s="2"/>
    </row>
    <row r="131" spans="2:3" ht="12.75">
      <c r="B131" t="s">
        <v>33</v>
      </c>
      <c r="C131" s="2"/>
    </row>
    <row r="132" spans="2:3" ht="12.75">
      <c r="B132" t="s">
        <v>36</v>
      </c>
      <c r="C132" s="2"/>
    </row>
    <row r="133" spans="2:3" ht="12.75">
      <c r="B133" t="s">
        <v>37</v>
      </c>
      <c r="C133" s="2"/>
    </row>
    <row r="134" spans="2:3" ht="12.75">
      <c r="B134" t="s">
        <v>38</v>
      </c>
      <c r="C134" s="2"/>
    </row>
    <row r="135" ht="12.75">
      <c r="C135" s="2"/>
    </row>
    <row r="136" spans="1:5" ht="13.5" thickBot="1">
      <c r="A136" s="21"/>
      <c r="B136" s="21"/>
      <c r="C136" s="21"/>
      <c r="D136"/>
      <c r="E136"/>
    </row>
    <row r="137" spans="1:3" s="76" customFormat="1" ht="14.25" thickBot="1" thickTop="1">
      <c r="A137" s="73" t="s">
        <v>97</v>
      </c>
      <c r="B137" s="74" t="s">
        <v>3</v>
      </c>
      <c r="C137" s="75" t="s">
        <v>4</v>
      </c>
    </row>
    <row r="138" spans="1:3" s="76" customFormat="1" ht="13.5" thickTop="1">
      <c r="A138" s="73">
        <v>0</v>
      </c>
      <c r="B138" s="61">
        <f>B46</f>
        <v>7700</v>
      </c>
      <c r="C138" s="61">
        <v>10000</v>
      </c>
    </row>
    <row r="139" spans="1:3" s="76" customFormat="1" ht="12.75">
      <c r="A139" s="76">
        <v>1</v>
      </c>
      <c r="B139" s="77">
        <f>B46</f>
        <v>7700</v>
      </c>
      <c r="C139" s="77">
        <f>C46</f>
        <v>14700</v>
      </c>
    </row>
    <row r="140" spans="1:3" s="76" customFormat="1" ht="12.75">
      <c r="A140" s="76">
        <v>2</v>
      </c>
      <c r="B140" s="77">
        <f>B60</f>
        <v>15239</v>
      </c>
      <c r="C140" s="77">
        <f>C60</f>
        <v>29729</v>
      </c>
    </row>
    <row r="141" spans="1:3" s="76" customFormat="1" ht="12.75">
      <c r="A141" s="76">
        <v>3</v>
      </c>
      <c r="B141" s="77">
        <f>B74</f>
        <v>30305.729999999996</v>
      </c>
      <c r="C141" s="77">
        <f>C74</f>
        <v>59810.03</v>
      </c>
    </row>
    <row r="142" spans="1:3" s="76" customFormat="1" ht="12.75">
      <c r="A142" s="72">
        <v>4</v>
      </c>
      <c r="B142" s="77">
        <f>B88</f>
        <v>60427.1311</v>
      </c>
      <c r="C142" s="77">
        <f>C88</f>
        <v>119996.7321</v>
      </c>
    </row>
    <row r="143" spans="1:3" s="76" customFormat="1" ht="13.5" thickBot="1">
      <c r="A143" s="72">
        <v>5</v>
      </c>
      <c r="B143" s="77">
        <f>B102</f>
        <v>120657.03027700001</v>
      </c>
      <c r="C143" s="77">
        <f>C102</f>
        <v>240396.503347</v>
      </c>
    </row>
    <row r="144" spans="1:3" s="76" customFormat="1" ht="14.25" thickBot="1" thickTop="1">
      <c r="A144" s="78" t="s">
        <v>93</v>
      </c>
      <c r="B144" s="79">
        <f>B138+NPV(B151,B139:B143)</f>
        <v>166254.4248635525</v>
      </c>
      <c r="C144" s="79">
        <f>C138+NPV(C151,C139:C143)</f>
        <v>324095.91617375845</v>
      </c>
    </row>
    <row r="145" spans="1:5" s="76" customFormat="1" ht="13.5" thickTop="1">
      <c r="A145" s="78" t="s">
        <v>71</v>
      </c>
      <c r="B145" s="80">
        <f>B25</f>
        <v>0.1</v>
      </c>
      <c r="C145" s="80">
        <f>B25</f>
        <v>0.1</v>
      </c>
      <c r="D145" s="77">
        <f>D104</f>
        <v>103027.07286299998</v>
      </c>
      <c r="E145" s="115" t="s">
        <v>118</v>
      </c>
    </row>
    <row r="146" spans="1:5" ht="12.75">
      <c r="A146" s="51" t="s">
        <v>88</v>
      </c>
      <c r="B146" s="81">
        <f>B159</f>
        <v>151709.01849538338</v>
      </c>
      <c r="C146" s="81">
        <f>C159</f>
        <v>451819.19907979446</v>
      </c>
      <c r="D146" s="116" t="s">
        <v>119</v>
      </c>
      <c r="E146"/>
    </row>
    <row r="147" spans="1:6" ht="12.75">
      <c r="A147" s="51" t="s">
        <v>94</v>
      </c>
      <c r="B147" s="81">
        <f>B176</f>
        <v>151709.0184953834</v>
      </c>
      <c r="C147" s="81">
        <f>C176</f>
        <v>387847.49268678855</v>
      </c>
      <c r="D147" s="111">
        <f>C146-C147</f>
        <v>63971.70639300591</v>
      </c>
      <c r="E147" s="111">
        <f>PV(C145,5,,-D145)</f>
        <v>63971.70639300591</v>
      </c>
      <c r="F147" s="117" t="s">
        <v>120</v>
      </c>
    </row>
    <row r="148" spans="1:6" ht="12.75">
      <c r="A148" s="51" t="s">
        <v>95</v>
      </c>
      <c r="B148" s="81">
        <f>B191</f>
        <v>151709.01849538338</v>
      </c>
      <c r="C148" s="81">
        <f>C191</f>
        <v>451819.19907979446</v>
      </c>
      <c r="D148"/>
      <c r="E148" s="111">
        <f>FV(C145,5,,-E147)</f>
        <v>103027.07286299998</v>
      </c>
      <c r="F148" s="117" t="s">
        <v>121</v>
      </c>
    </row>
    <row r="149" spans="1:2" ht="13.5" thickBot="1">
      <c r="A149" s="51" t="s">
        <v>21</v>
      </c>
      <c r="B149" s="82" t="s">
        <v>21</v>
      </c>
    </row>
    <row r="150" spans="1:3" ht="14.25" thickBot="1" thickTop="1">
      <c r="A150" s="56" t="s">
        <v>88</v>
      </c>
      <c r="B150" s="74" t="s">
        <v>3</v>
      </c>
      <c r="C150" s="75" t="s">
        <v>4</v>
      </c>
    </row>
    <row r="151" spans="1:3" ht="14.25" thickBot="1" thickTop="1">
      <c r="A151" s="1" t="s">
        <v>71</v>
      </c>
      <c r="B151" s="83">
        <f>B145</f>
        <v>0.1</v>
      </c>
      <c r="C151" s="83">
        <f>C145</f>
        <v>0.1</v>
      </c>
    </row>
    <row r="152" spans="1:3" ht="14.25" thickBot="1" thickTop="1">
      <c r="A152" s="1" t="s">
        <v>73</v>
      </c>
      <c r="B152" s="65" t="s">
        <v>96</v>
      </c>
      <c r="C152" s="65" t="s">
        <v>96</v>
      </c>
    </row>
    <row r="153" spans="1:3" ht="13.5" thickTop="1">
      <c r="A153">
        <v>1</v>
      </c>
      <c r="B153" s="58">
        <v>0</v>
      </c>
      <c r="C153" s="58">
        <v>0</v>
      </c>
    </row>
    <row r="154" spans="1:3" ht="12.75">
      <c r="A154">
        <v>2</v>
      </c>
      <c r="B154" s="59">
        <v>0</v>
      </c>
      <c r="C154" s="59">
        <v>0</v>
      </c>
    </row>
    <row r="155" spans="1:3" ht="12.75">
      <c r="A155">
        <v>3</v>
      </c>
      <c r="B155" s="59">
        <v>0</v>
      </c>
      <c r="C155" s="59">
        <v>0</v>
      </c>
    </row>
    <row r="156" spans="1:3" ht="12.75">
      <c r="A156">
        <v>4</v>
      </c>
      <c r="B156" s="59">
        <v>0</v>
      </c>
      <c r="C156" s="59">
        <v>0</v>
      </c>
    </row>
    <row r="157" spans="1:3" ht="12.75">
      <c r="A157">
        <v>5</v>
      </c>
      <c r="B157" s="59">
        <f>B103</f>
        <v>244328.89137700002</v>
      </c>
      <c r="C157" s="59">
        <f>C103-B18*B19</f>
        <v>577659.33831</v>
      </c>
    </row>
    <row r="158" spans="1:3" ht="13.5" thickBot="1">
      <c r="A158" s="1" t="s">
        <v>83</v>
      </c>
      <c r="B158" s="22">
        <v>0</v>
      </c>
      <c r="C158" s="22">
        <f>C103-C157</f>
        <v>150000</v>
      </c>
    </row>
    <row r="159" spans="1:3" ht="14.25" thickBot="1" thickTop="1">
      <c r="A159" s="1" t="s">
        <v>86</v>
      </c>
      <c r="B159" s="60">
        <f>B158/((1+B151)^($A157))+NPV(B151,B153:B157)</f>
        <v>151709.01849538338</v>
      </c>
      <c r="C159" s="60">
        <f>C158/((1+C151)^($A157))+NPV(C151,C153:C157)</f>
        <v>451819.19907979446</v>
      </c>
    </row>
    <row r="160" spans="1:3" ht="13.5" thickTop="1">
      <c r="A160" s="1" t="s">
        <v>87</v>
      </c>
      <c r="B160" s="45">
        <f>B159/B106</f>
        <v>15.170901849538339</v>
      </c>
      <c r="C160" s="45">
        <f>C159/C106</f>
        <v>18.07276796319178</v>
      </c>
    </row>
    <row r="161" spans="1:5" ht="12.75">
      <c r="A161" s="21"/>
      <c r="B161" s="21"/>
      <c r="C161" s="21"/>
      <c r="D161"/>
      <c r="E161"/>
    </row>
    <row r="162" spans="2:5" ht="12.75">
      <c r="B162" s="2"/>
      <c r="C162" s="2"/>
      <c r="D162"/>
      <c r="E162"/>
    </row>
    <row r="163" spans="1:5" ht="12.75">
      <c r="A163" s="51" t="s">
        <v>77</v>
      </c>
      <c r="B163" s="2"/>
      <c r="C163" s="2"/>
      <c r="D163"/>
      <c r="E163"/>
    </row>
    <row r="164" ht="13.5" thickBot="1"/>
    <row r="165" spans="1:3" ht="14.25" thickBot="1" thickTop="1">
      <c r="A165" s="56" t="s">
        <v>77</v>
      </c>
      <c r="B165" s="74" t="s">
        <v>3</v>
      </c>
      <c r="C165" s="75" t="s">
        <v>4</v>
      </c>
    </row>
    <row r="166" spans="1:3" ht="14.25" thickBot="1" thickTop="1">
      <c r="A166" s="1" t="s">
        <v>80</v>
      </c>
      <c r="B166" s="84">
        <f>B151</f>
        <v>0.1</v>
      </c>
      <c r="C166" s="84">
        <f>C151</f>
        <v>0.1</v>
      </c>
    </row>
    <row r="167" spans="1:3" ht="14.25" thickBot="1" thickTop="1">
      <c r="A167" s="1" t="s">
        <v>73</v>
      </c>
      <c r="B167" s="57" t="s">
        <v>81</v>
      </c>
      <c r="C167" s="57" t="s">
        <v>81</v>
      </c>
    </row>
    <row r="168" spans="1:3" ht="14.25" thickBot="1" thickTop="1">
      <c r="A168" s="1">
        <v>0</v>
      </c>
      <c r="B168" s="64">
        <v>10000</v>
      </c>
      <c r="C168" s="64">
        <v>10000</v>
      </c>
    </row>
    <row r="169" spans="1:4" ht="14.25" thickBot="1" thickTop="1">
      <c r="A169" s="1"/>
      <c r="B169" s="57" t="s">
        <v>82</v>
      </c>
      <c r="C169" s="57" t="s">
        <v>82</v>
      </c>
      <c r="D169" s="66" t="s">
        <v>84</v>
      </c>
    </row>
    <row r="170" spans="1:4" ht="13.5" thickTop="1">
      <c r="A170">
        <v>1</v>
      </c>
      <c r="B170" s="59">
        <f>B139-B$145*B168</f>
        <v>6700</v>
      </c>
      <c r="C170" s="59">
        <f>C139-C$145*C168</f>
        <v>13700</v>
      </c>
      <c r="D170" s="66" t="s">
        <v>84</v>
      </c>
    </row>
    <row r="171" spans="1:4" ht="12.75">
      <c r="A171">
        <v>2</v>
      </c>
      <c r="B171" s="59">
        <f>B140-B$145*(B47)</f>
        <v>13469</v>
      </c>
      <c r="C171" s="59">
        <f>C140-C$145*(C47)</f>
        <v>27259</v>
      </c>
      <c r="D171" s="66" t="s">
        <v>84</v>
      </c>
    </row>
    <row r="172" spans="1:4" ht="12.75">
      <c r="A172">
        <v>3</v>
      </c>
      <c r="B172" s="59">
        <f>B141-B$145*(B61)</f>
        <v>27011.829999999994</v>
      </c>
      <c r="C172" s="59">
        <f>C141-C$145*(C61)</f>
        <v>54367.13</v>
      </c>
      <c r="D172" s="66" t="s">
        <v>84</v>
      </c>
    </row>
    <row r="173" spans="1:4" ht="12.75">
      <c r="A173">
        <v>4</v>
      </c>
      <c r="B173" s="59">
        <f>B142-B$145*(B75)</f>
        <v>54102.6581</v>
      </c>
      <c r="C173" s="59">
        <f>C142-C$145*(C75)</f>
        <v>108572.82909999999</v>
      </c>
      <c r="D173" s="66" t="s">
        <v>84</v>
      </c>
    </row>
    <row r="174" spans="1:4" ht="12.75">
      <c r="A174">
        <v>5</v>
      </c>
      <c r="B174" s="59">
        <f>B143-B$145*(B89)</f>
        <v>108289.84416700002</v>
      </c>
      <c r="C174" s="59">
        <f>C143-C$145*(C89)</f>
        <v>216972.927137</v>
      </c>
      <c r="D174" s="66" t="s">
        <v>84</v>
      </c>
    </row>
    <row r="175" spans="1:4" ht="13.5" thickBot="1">
      <c r="A175" s="1" t="s">
        <v>83</v>
      </c>
      <c r="B175" s="22">
        <f>0</f>
        <v>0</v>
      </c>
      <c r="C175" s="22">
        <f>B18*B19</f>
        <v>150000</v>
      </c>
      <c r="D175" s="66" t="s">
        <v>85</v>
      </c>
    </row>
    <row r="176" spans="1:3" ht="14.25" thickBot="1" thickTop="1">
      <c r="A176" s="1" t="s">
        <v>78</v>
      </c>
      <c r="B176" s="60">
        <f>B168+NPV(B151,B170:B174)</f>
        <v>151709.0184953834</v>
      </c>
      <c r="C176" s="60">
        <f>C168+NPV(C151,C170:C174)+C175/((1+C151)^($A174))</f>
        <v>387847.49268678855</v>
      </c>
    </row>
    <row r="177" spans="1:3" ht="13.5" thickTop="1">
      <c r="A177" s="1" t="s">
        <v>79</v>
      </c>
      <c r="B177" s="45">
        <f>B176/B106</f>
        <v>15.17090184953834</v>
      </c>
      <c r="C177" s="45">
        <f>C176/C106</f>
        <v>15.513899707471541</v>
      </c>
    </row>
    <row r="178" spans="2:5" ht="12.75">
      <c r="B178" s="2"/>
      <c r="C178" s="2"/>
      <c r="D178"/>
      <c r="E178"/>
    </row>
    <row r="179" spans="1:5" ht="12.75">
      <c r="A179" s="21"/>
      <c r="B179" s="21"/>
      <c r="C179" s="21"/>
      <c r="D179"/>
      <c r="E179"/>
    </row>
    <row r="180" spans="1:5" ht="12.75">
      <c r="A180" s="51" t="s">
        <v>70</v>
      </c>
      <c r="B180" s="2"/>
      <c r="C180" s="2"/>
      <c r="D180"/>
      <c r="E180"/>
    </row>
    <row r="181" ht="13.5" thickBot="1"/>
    <row r="182" spans="1:3" ht="14.25" thickBot="1" thickTop="1">
      <c r="A182" s="56" t="s">
        <v>70</v>
      </c>
      <c r="B182" s="74" t="s">
        <v>3</v>
      </c>
      <c r="C182" s="75" t="s">
        <v>4</v>
      </c>
    </row>
    <row r="183" spans="1:3" ht="14.25" thickBot="1" thickTop="1">
      <c r="A183" s="1" t="s">
        <v>71</v>
      </c>
      <c r="B183" s="85">
        <f>B151</f>
        <v>0.1</v>
      </c>
      <c r="C183" s="67">
        <f>C151</f>
        <v>0.1</v>
      </c>
    </row>
    <row r="184" spans="1:3" ht="14.25" thickBot="1" thickTop="1">
      <c r="A184" s="1" t="s">
        <v>73</v>
      </c>
      <c r="B184" s="62" t="s">
        <v>72</v>
      </c>
      <c r="C184" s="65" t="s">
        <v>72</v>
      </c>
    </row>
    <row r="185" spans="1:3" ht="13.5" thickTop="1">
      <c r="A185">
        <v>1</v>
      </c>
      <c r="B185" s="86">
        <f aca="true" t="shared" si="0" ref="B185:C189">B153</f>
        <v>0</v>
      </c>
      <c r="C185" s="86">
        <f t="shared" si="0"/>
        <v>0</v>
      </c>
    </row>
    <row r="186" spans="1:3" ht="12.75">
      <c r="A186">
        <v>2</v>
      </c>
      <c r="B186" s="86">
        <f t="shared" si="0"/>
        <v>0</v>
      </c>
      <c r="C186" s="86">
        <f t="shared" si="0"/>
        <v>0</v>
      </c>
    </row>
    <row r="187" spans="1:3" ht="12.75">
      <c r="A187">
        <v>3</v>
      </c>
      <c r="B187" s="86">
        <f t="shared" si="0"/>
        <v>0</v>
      </c>
      <c r="C187" s="86">
        <f t="shared" si="0"/>
        <v>0</v>
      </c>
    </row>
    <row r="188" spans="1:3" ht="12.75">
      <c r="A188">
        <v>4</v>
      </c>
      <c r="B188" s="86">
        <f t="shared" si="0"/>
        <v>0</v>
      </c>
      <c r="C188" s="86">
        <f t="shared" si="0"/>
        <v>0</v>
      </c>
    </row>
    <row r="189" spans="1:3" ht="12.75">
      <c r="A189">
        <v>5</v>
      </c>
      <c r="B189" s="86">
        <f t="shared" si="0"/>
        <v>244328.89137700002</v>
      </c>
      <c r="C189" s="86">
        <f t="shared" si="0"/>
        <v>577659.33831</v>
      </c>
    </row>
    <row r="190" spans="1:3" ht="13.5" thickBot="1">
      <c r="A190" s="1" t="s">
        <v>83</v>
      </c>
      <c r="B190" s="63">
        <v>0</v>
      </c>
      <c r="C190" s="22">
        <f>C158</f>
        <v>150000</v>
      </c>
    </row>
    <row r="191" spans="1:3" ht="14.25" thickBot="1" thickTop="1">
      <c r="A191" s="1" t="s">
        <v>74</v>
      </c>
      <c r="B191" s="60">
        <f>NPV(B183,B185:B189)</f>
        <v>151709.01849538338</v>
      </c>
      <c r="C191" s="60">
        <f>NPV(C183,C185:C189)+C158/((1+C151)^($A157))</f>
        <v>451819.19907979446</v>
      </c>
    </row>
    <row r="192" spans="1:3" ht="13.5" thickTop="1">
      <c r="A192" s="1" t="s">
        <v>75</v>
      </c>
      <c r="B192" s="45">
        <f>B191/B106</f>
        <v>15.170901849538339</v>
      </c>
      <c r="C192" s="45">
        <f>C191/C106</f>
        <v>18.07276796319178</v>
      </c>
    </row>
    <row r="193" spans="2:5" ht="12.75">
      <c r="B193" s="2"/>
      <c r="C193" s="2"/>
      <c r="D193"/>
      <c r="E193"/>
    </row>
    <row r="194" spans="2:5" ht="12.75">
      <c r="B194" s="2"/>
      <c r="C194" s="2"/>
      <c r="D194"/>
      <c r="E194"/>
    </row>
  </sheetData>
  <printOptions/>
  <pageMargins left="0.75" right="0.75" top="1" bottom="1" header="0.5" footer="0.5"/>
  <pageSetup fitToHeight="33" fitToWidth="1" horizontalDpi="600" verticalDpi="600" orientation="portrait" scale="75" r:id="rId3"/>
  <legacyDrawing r:id="rId2"/>
</worksheet>
</file>

<file path=xl/worksheets/sheet4.xml><?xml version="1.0" encoding="utf-8"?>
<worksheet xmlns="http://schemas.openxmlformats.org/spreadsheetml/2006/main" xmlns:r="http://schemas.openxmlformats.org/officeDocument/2006/relationships">
  <dimension ref="A1:F194"/>
  <sheetViews>
    <sheetView workbookViewId="0" topLeftCell="A1">
      <selection activeCell="A1" sqref="A1"/>
    </sheetView>
  </sheetViews>
  <sheetFormatPr defaultColWidth="9.140625" defaultRowHeight="12.75"/>
  <cols>
    <col min="1" max="1" width="33.421875" style="0" bestFit="1" customWidth="1"/>
    <col min="2" max="3" width="28.421875" style="0" bestFit="1" customWidth="1"/>
    <col min="4" max="4" width="10.7109375" style="3" bestFit="1" customWidth="1"/>
    <col min="5" max="5" width="9.7109375" style="3" bestFit="1" customWidth="1"/>
  </cols>
  <sheetData>
    <row r="1" spans="1:3" ht="12.75">
      <c r="A1" s="1" t="s">
        <v>90</v>
      </c>
      <c r="B1" s="70">
        <v>0.3</v>
      </c>
      <c r="C1" s="2" t="s">
        <v>76</v>
      </c>
    </row>
    <row r="2" spans="1:3" ht="12.75">
      <c r="A2" t="s">
        <v>39</v>
      </c>
      <c r="B2" s="2"/>
      <c r="C2" s="2"/>
    </row>
    <row r="3" spans="1:3" ht="12.75">
      <c r="A3" t="s">
        <v>117</v>
      </c>
      <c r="B3" s="2"/>
      <c r="C3" s="2"/>
    </row>
    <row r="4" spans="1:3" ht="12.75">
      <c r="A4" t="s">
        <v>41</v>
      </c>
      <c r="B4" s="2"/>
      <c r="C4" s="2"/>
    </row>
    <row r="5" spans="1:3" ht="12.75">
      <c r="A5" t="s">
        <v>42</v>
      </c>
      <c r="B5" s="2"/>
      <c r="C5" s="2"/>
    </row>
    <row r="6" spans="1:3" ht="12.75">
      <c r="A6" t="s">
        <v>43</v>
      </c>
      <c r="B6" s="2"/>
      <c r="C6" s="3"/>
    </row>
    <row r="7" spans="1:3" ht="12.75">
      <c r="A7" t="s">
        <v>44</v>
      </c>
      <c r="B7" s="2"/>
      <c r="C7" s="3"/>
    </row>
    <row r="8" spans="1:3" ht="12.75">
      <c r="A8" t="s">
        <v>45</v>
      </c>
      <c r="B8" s="2"/>
      <c r="C8" s="3"/>
    </row>
    <row r="9" spans="1:3" ht="12.75">
      <c r="A9" t="s">
        <v>46</v>
      </c>
      <c r="B9" s="2"/>
      <c r="C9" s="3"/>
    </row>
    <row r="10" spans="1:3" ht="12.75">
      <c r="A10" t="s">
        <v>47</v>
      </c>
      <c r="B10" s="2"/>
      <c r="C10" s="3"/>
    </row>
    <row r="11" spans="1:3" ht="12.75">
      <c r="A11" t="s">
        <v>48</v>
      </c>
      <c r="B11" s="2"/>
      <c r="C11" s="3"/>
    </row>
    <row r="12" spans="2:3" ht="12.75">
      <c r="B12" s="2"/>
      <c r="C12" s="3"/>
    </row>
    <row r="13" spans="1:3" ht="12.75">
      <c r="A13" t="s">
        <v>53</v>
      </c>
      <c r="B13" s="2"/>
      <c r="C13" s="3"/>
    </row>
    <row r="14" spans="1:3" ht="12.75">
      <c r="A14" t="s">
        <v>49</v>
      </c>
      <c r="B14" s="2"/>
      <c r="C14" s="3"/>
    </row>
    <row r="15" spans="1:3" ht="12.75">
      <c r="A15" t="s">
        <v>50</v>
      </c>
      <c r="B15" s="2"/>
      <c r="C15" s="2"/>
    </row>
    <row r="16" spans="2:3" ht="12.75">
      <c r="B16" s="2"/>
      <c r="C16" s="2"/>
    </row>
    <row r="17" spans="1:3" ht="12.75">
      <c r="A17" s="56" t="s">
        <v>58</v>
      </c>
      <c r="B17" s="2"/>
      <c r="C17" s="3"/>
    </row>
    <row r="18" spans="1:3" ht="12.75">
      <c r="A18" s="1" t="s">
        <v>56</v>
      </c>
      <c r="B18" s="49">
        <v>15000</v>
      </c>
      <c r="C18" s="3"/>
    </row>
    <row r="19" spans="1:3" ht="12.75">
      <c r="A19" s="1" t="s">
        <v>57</v>
      </c>
      <c r="B19" s="35">
        <v>10</v>
      </c>
      <c r="C19" s="3"/>
    </row>
    <row r="20" spans="1:2" ht="12.75">
      <c r="A20" t="s">
        <v>51</v>
      </c>
      <c r="B20" s="50">
        <v>5</v>
      </c>
    </row>
    <row r="21" spans="1:2" ht="12.75">
      <c r="A21" s="1" t="s">
        <v>52</v>
      </c>
      <c r="B21" s="49">
        <v>10000</v>
      </c>
    </row>
    <row r="22" spans="1:3" ht="12.75">
      <c r="A22" s="1" t="s">
        <v>116</v>
      </c>
      <c r="B22" s="14">
        <v>0</v>
      </c>
      <c r="C22" t="s">
        <v>99</v>
      </c>
    </row>
    <row r="23" spans="1:3" ht="12.75">
      <c r="A23" s="1" t="s">
        <v>67</v>
      </c>
      <c r="B23" s="69">
        <f>B1</f>
        <v>0.3</v>
      </c>
      <c r="C23" s="68" t="s">
        <v>91</v>
      </c>
    </row>
    <row r="24" spans="1:2" ht="12.75">
      <c r="A24" s="56" t="s">
        <v>66</v>
      </c>
      <c r="B24" s="49"/>
    </row>
    <row r="25" spans="1:3" ht="12.75">
      <c r="A25" s="1" t="s">
        <v>71</v>
      </c>
      <c r="B25" s="88">
        <v>0.1</v>
      </c>
      <c r="C25" s="89" t="s">
        <v>92</v>
      </c>
    </row>
    <row r="26" spans="1:2" ht="12.75">
      <c r="A26" s="1" t="s">
        <v>64</v>
      </c>
      <c r="B26" s="35">
        <v>0</v>
      </c>
    </row>
    <row r="27" spans="1:2" ht="12.75">
      <c r="A27" s="1" t="s">
        <v>65</v>
      </c>
      <c r="B27" s="35">
        <v>0</v>
      </c>
    </row>
    <row r="28" spans="1:2" ht="12.75">
      <c r="A28" s="50" t="s">
        <v>69</v>
      </c>
      <c r="B28" s="49"/>
    </row>
    <row r="29" spans="1:2" ht="13.5" thickBot="1">
      <c r="A29" s="56" t="s">
        <v>89</v>
      </c>
      <c r="B29" s="49"/>
    </row>
    <row r="30" spans="1:3" ht="14.25" thickBot="1" thickTop="1">
      <c r="A30" s="1" t="s">
        <v>59</v>
      </c>
      <c r="B30" s="52" t="s">
        <v>60</v>
      </c>
      <c r="C30" s="53" t="s">
        <v>61</v>
      </c>
    </row>
    <row r="31" spans="1:3" ht="13.5" thickTop="1">
      <c r="A31" s="1">
        <v>1</v>
      </c>
      <c r="B31" s="25">
        <v>0</v>
      </c>
      <c r="C31" s="26">
        <v>30000</v>
      </c>
    </row>
    <row r="32" spans="1:3" ht="12.75">
      <c r="A32" s="1">
        <v>2</v>
      </c>
      <c r="B32" s="18">
        <v>0</v>
      </c>
      <c r="C32" s="19">
        <v>60000</v>
      </c>
    </row>
    <row r="33" spans="1:3" ht="12.75">
      <c r="A33" s="1">
        <v>3</v>
      </c>
      <c r="B33" s="18">
        <v>0</v>
      </c>
      <c r="C33" s="19">
        <v>120000</v>
      </c>
    </row>
    <row r="34" spans="1:3" ht="12.75">
      <c r="A34" s="1">
        <v>4</v>
      </c>
      <c r="B34" s="18">
        <v>250000</v>
      </c>
      <c r="C34" s="19">
        <v>50000</v>
      </c>
    </row>
    <row r="35" spans="1:3" ht="13.5" thickBot="1">
      <c r="A35" s="1">
        <v>5</v>
      </c>
      <c r="B35" s="20">
        <v>500000</v>
      </c>
      <c r="C35" s="10">
        <v>0</v>
      </c>
    </row>
    <row r="36" spans="1:2" ht="13.5" thickTop="1">
      <c r="A36" s="1"/>
      <c r="B36" s="49"/>
    </row>
    <row r="37" spans="2:5" ht="13.5" thickBot="1">
      <c r="B37" s="2"/>
      <c r="C37" s="2"/>
      <c r="D37" s="46" t="s">
        <v>21</v>
      </c>
      <c r="E37" s="46" t="s">
        <v>21</v>
      </c>
    </row>
    <row r="38" spans="1:5" ht="15.75" customHeight="1" thickTop="1">
      <c r="A38" s="6"/>
      <c r="B38" s="7" t="s">
        <v>0</v>
      </c>
      <c r="C38" s="54" t="s">
        <v>68</v>
      </c>
      <c r="D38" s="47" t="s">
        <v>21</v>
      </c>
      <c r="E38" s="48" t="s">
        <v>21</v>
      </c>
    </row>
    <row r="39" spans="1:5" ht="13.5" thickBot="1">
      <c r="A39" s="8" t="s">
        <v>21</v>
      </c>
      <c r="B39" s="9" t="s">
        <v>1</v>
      </c>
      <c r="C39" s="16" t="s">
        <v>62</v>
      </c>
      <c r="D39" s="47" t="s">
        <v>21</v>
      </c>
      <c r="E39" s="48" t="s">
        <v>21</v>
      </c>
    </row>
    <row r="40" spans="1:5" ht="14.25" thickBot="1" thickTop="1">
      <c r="A40" t="s">
        <v>2</v>
      </c>
      <c r="B40" s="11" t="s">
        <v>3</v>
      </c>
      <c r="C40" s="17" t="s">
        <v>4</v>
      </c>
      <c r="D40" s="47" t="s">
        <v>21</v>
      </c>
      <c r="E40" s="48" t="s">
        <v>21</v>
      </c>
    </row>
    <row r="41" spans="1:3" ht="13.5" thickTop="1">
      <c r="A41" s="1" t="s">
        <v>101</v>
      </c>
      <c r="B41" s="3">
        <v>20000</v>
      </c>
      <c r="C41" s="3">
        <f>B41</f>
        <v>20000</v>
      </c>
    </row>
    <row r="42" spans="1:3" ht="12.75">
      <c r="A42" s="1" t="s">
        <v>100</v>
      </c>
      <c r="B42" s="3">
        <f>$B$25*$B$21</f>
        <v>1000</v>
      </c>
      <c r="C42" s="3">
        <f>$B$25*$B$21</f>
        <v>1000</v>
      </c>
    </row>
    <row r="43" spans="1:3" ht="13.5" thickBot="1">
      <c r="A43" s="1" t="s">
        <v>6</v>
      </c>
      <c r="B43" s="5">
        <f>0.5*B41</f>
        <v>10000</v>
      </c>
      <c r="C43" s="5">
        <v>0</v>
      </c>
    </row>
    <row r="44" spans="1:3" ht="13.5" thickTop="1">
      <c r="A44" s="1" t="s">
        <v>13</v>
      </c>
      <c r="B44" s="13">
        <f>B41+B42-B43</f>
        <v>11000</v>
      </c>
      <c r="C44" s="13">
        <f>C41+C42-C43</f>
        <v>21000</v>
      </c>
    </row>
    <row r="45" spans="1:3" ht="13.5" thickBot="1">
      <c r="A45" s="1" t="s">
        <v>12</v>
      </c>
      <c r="B45" s="5">
        <f>$B$1*B44</f>
        <v>3300</v>
      </c>
      <c r="C45" s="5">
        <f>$B$1*C44</f>
        <v>6300</v>
      </c>
    </row>
    <row r="46" spans="1:3" ht="14.25" thickBot="1" thickTop="1">
      <c r="A46" s="1" t="s">
        <v>7</v>
      </c>
      <c r="B46" s="4">
        <f>B44-B45</f>
        <v>7700</v>
      </c>
      <c r="C46" s="4">
        <f>C44-C45</f>
        <v>14700</v>
      </c>
    </row>
    <row r="47" spans="1:3" ht="13.5" thickTop="1">
      <c r="A47" s="1" t="s">
        <v>8</v>
      </c>
      <c r="B47" s="3">
        <f>B46+10000</f>
        <v>17700</v>
      </c>
      <c r="C47" s="3">
        <f>C46+10000</f>
        <v>24700</v>
      </c>
    </row>
    <row r="48" spans="1:3" ht="12.75">
      <c r="A48" s="1" t="s">
        <v>9</v>
      </c>
      <c r="B48" s="3">
        <f>-$B$21</f>
        <v>-10000</v>
      </c>
      <c r="C48" s="3">
        <f>-$B$21</f>
        <v>-10000</v>
      </c>
    </row>
    <row r="49" spans="1:3" ht="13.5" thickBot="1">
      <c r="A49" s="1" t="s">
        <v>10</v>
      </c>
      <c r="B49" s="4">
        <f>-B47-B48</f>
        <v>-7700</v>
      </c>
      <c r="C49" s="4">
        <f>-C47-C48</f>
        <v>-14700</v>
      </c>
    </row>
    <row r="50" spans="1:5" ht="14.25" thickBot="1" thickTop="1">
      <c r="A50" s="1" t="s">
        <v>14</v>
      </c>
      <c r="B50" s="15">
        <f>$B$21</f>
        <v>10000</v>
      </c>
      <c r="C50" s="15">
        <f>$B$21</f>
        <v>10000</v>
      </c>
      <c r="D50" s="30" t="s">
        <v>22</v>
      </c>
      <c r="E50" s="29"/>
    </row>
    <row r="51" spans="1:5" ht="14.25" thickBot="1" thickTop="1">
      <c r="A51" s="1" t="s">
        <v>11</v>
      </c>
      <c r="B51" s="12">
        <f>B46/B50</f>
        <v>0.77</v>
      </c>
      <c r="C51" s="12">
        <f>C46/C50</f>
        <v>1.47</v>
      </c>
      <c r="D51" s="25" t="s">
        <v>20</v>
      </c>
      <c r="E51" s="26" t="s">
        <v>15</v>
      </c>
    </row>
    <row r="52" spans="1:5" ht="14.25" thickBot="1" thickTop="1">
      <c r="A52" s="1" t="s">
        <v>16</v>
      </c>
      <c r="B52" s="3">
        <v>0</v>
      </c>
      <c r="C52" s="3">
        <f>E52+F52</f>
        <v>30000</v>
      </c>
      <c r="D52" s="33">
        <f>B31</f>
        <v>0</v>
      </c>
      <c r="E52" s="34">
        <f>C31</f>
        <v>30000</v>
      </c>
    </row>
    <row r="53" spans="1:5" ht="14.25" thickBot="1" thickTop="1">
      <c r="A53" s="21"/>
      <c r="B53" s="21"/>
      <c r="C53" s="21"/>
      <c r="D53" s="24"/>
      <c r="E53" s="24"/>
    </row>
    <row r="54" spans="1:5" ht="14.25" thickBot="1" thickTop="1">
      <c r="A54" t="s">
        <v>17</v>
      </c>
      <c r="B54" s="11" t="s">
        <v>3</v>
      </c>
      <c r="C54" s="17" t="s">
        <v>4</v>
      </c>
      <c r="D54" s="27" t="s">
        <v>21</v>
      </c>
      <c r="E54" s="28" t="s">
        <v>21</v>
      </c>
    </row>
    <row r="55" spans="1:3" ht="13.5" thickTop="1">
      <c r="A55" s="1" t="s">
        <v>101</v>
      </c>
      <c r="B55" s="3">
        <f>2*B41</f>
        <v>40000</v>
      </c>
      <c r="C55" s="3">
        <f>B55</f>
        <v>40000</v>
      </c>
    </row>
    <row r="56" spans="1:3" ht="12.75">
      <c r="A56" s="1" t="s">
        <v>100</v>
      </c>
      <c r="B56" s="3">
        <f>$B$25*B47</f>
        <v>1770</v>
      </c>
      <c r="C56" s="3">
        <f>$B$25*C47</f>
        <v>2470</v>
      </c>
    </row>
    <row r="57" spans="1:3" ht="13.5" thickBot="1">
      <c r="A57" s="1" t="s">
        <v>6</v>
      </c>
      <c r="B57" s="5">
        <f>0.5*B55</f>
        <v>20000</v>
      </c>
      <c r="C57" s="5">
        <v>0</v>
      </c>
    </row>
    <row r="58" spans="1:3" ht="13.5" thickTop="1">
      <c r="A58" s="1" t="s">
        <v>13</v>
      </c>
      <c r="B58" s="13">
        <f>B55+B56-B57</f>
        <v>21770</v>
      </c>
      <c r="C58" s="13">
        <f>C55+C56-C57</f>
        <v>42470</v>
      </c>
    </row>
    <row r="59" spans="1:3" ht="13.5" thickBot="1">
      <c r="A59" s="1" t="s">
        <v>12</v>
      </c>
      <c r="B59" s="5">
        <f>$B$1*B58</f>
        <v>6531</v>
      </c>
      <c r="C59" s="5">
        <f>$B$1*C58</f>
        <v>12741</v>
      </c>
    </row>
    <row r="60" spans="1:3" ht="14.25" thickBot="1" thickTop="1">
      <c r="A60" s="1" t="s">
        <v>7</v>
      </c>
      <c r="B60" s="4">
        <f>B58-B59</f>
        <v>15239</v>
      </c>
      <c r="C60" s="4">
        <f>C58-C59</f>
        <v>29729</v>
      </c>
    </row>
    <row r="61" spans="1:3" ht="13.5" thickTop="1">
      <c r="A61" s="1" t="s">
        <v>8</v>
      </c>
      <c r="B61" s="3">
        <f>B47+B60</f>
        <v>32939</v>
      </c>
      <c r="C61" s="3">
        <f>C47+C60</f>
        <v>54429</v>
      </c>
    </row>
    <row r="62" spans="1:3" ht="12.75">
      <c r="A62" s="1" t="s">
        <v>9</v>
      </c>
      <c r="B62" s="3">
        <f>-$B$21</f>
        <v>-10000</v>
      </c>
      <c r="C62" s="3">
        <f>-$B$21</f>
        <v>-10000</v>
      </c>
    </row>
    <row r="63" spans="1:3" ht="13.5" thickBot="1">
      <c r="A63" s="1" t="s">
        <v>10</v>
      </c>
      <c r="B63" s="4">
        <f>-B61-B62</f>
        <v>-22939</v>
      </c>
      <c r="C63" s="4">
        <f>-C61-C62</f>
        <v>-44429</v>
      </c>
    </row>
    <row r="64" spans="1:5" ht="14.25" thickBot="1" thickTop="1">
      <c r="A64" s="1" t="s">
        <v>14</v>
      </c>
      <c r="B64" s="15">
        <f>$B$21</f>
        <v>10000</v>
      </c>
      <c r="C64" s="15">
        <f>$B$21</f>
        <v>10000</v>
      </c>
      <c r="D64" s="30" t="s">
        <v>22</v>
      </c>
      <c r="E64" s="29"/>
    </row>
    <row r="65" spans="1:5" ht="14.25" thickBot="1" thickTop="1">
      <c r="A65" s="1" t="s">
        <v>11</v>
      </c>
      <c r="B65" s="12">
        <f>B60/B64</f>
        <v>1.5239</v>
      </c>
      <c r="C65" s="12">
        <f>C60/C64</f>
        <v>2.9729</v>
      </c>
      <c r="D65" s="25" t="s">
        <v>20</v>
      </c>
      <c r="E65" s="26" t="s">
        <v>15</v>
      </c>
    </row>
    <row r="66" spans="1:5" ht="14.25" thickBot="1" thickTop="1">
      <c r="A66" s="1" t="s">
        <v>16</v>
      </c>
      <c r="B66" s="3">
        <v>0</v>
      </c>
      <c r="C66" s="3">
        <f>D66+E66</f>
        <v>60000</v>
      </c>
      <c r="D66" s="33">
        <f>B32</f>
        <v>0</v>
      </c>
      <c r="E66" s="34">
        <f>C32</f>
        <v>60000</v>
      </c>
    </row>
    <row r="67" spans="1:5" ht="14.25" thickBot="1" thickTop="1">
      <c r="A67" s="21"/>
      <c r="B67" s="21"/>
      <c r="C67" s="21"/>
      <c r="D67" s="24"/>
      <c r="E67" s="24"/>
    </row>
    <row r="68" spans="1:5" ht="14.25" thickBot="1" thickTop="1">
      <c r="A68" t="s">
        <v>18</v>
      </c>
      <c r="B68" s="11" t="s">
        <v>3</v>
      </c>
      <c r="C68" s="17" t="s">
        <v>4</v>
      </c>
      <c r="D68" s="27" t="s">
        <v>21</v>
      </c>
      <c r="E68" s="28" t="s">
        <v>21</v>
      </c>
    </row>
    <row r="69" spans="1:3" ht="13.5" thickTop="1">
      <c r="A69" s="1" t="s">
        <v>101</v>
      </c>
      <c r="B69" s="3">
        <f>2*B55</f>
        <v>80000</v>
      </c>
      <c r="C69" s="3">
        <f>B69</f>
        <v>80000</v>
      </c>
    </row>
    <row r="70" spans="1:3" ht="12.75">
      <c r="A70" s="1" t="s">
        <v>100</v>
      </c>
      <c r="B70" s="3">
        <f>$B$25*B61</f>
        <v>3293.9</v>
      </c>
      <c r="C70" s="3">
        <f>$B$25*C61</f>
        <v>5442.900000000001</v>
      </c>
    </row>
    <row r="71" spans="1:3" ht="13.5" thickBot="1">
      <c r="A71" s="1" t="s">
        <v>6</v>
      </c>
      <c r="B71" s="5">
        <f>0.5*B69</f>
        <v>40000</v>
      </c>
      <c r="C71" s="5">
        <v>0</v>
      </c>
    </row>
    <row r="72" spans="1:3" ht="13.5" thickTop="1">
      <c r="A72" s="1" t="s">
        <v>13</v>
      </c>
      <c r="B72" s="13">
        <f>B69+B70-B71</f>
        <v>43293.899999999994</v>
      </c>
      <c r="C72" s="13">
        <f>C69+C70-C71</f>
        <v>85442.9</v>
      </c>
    </row>
    <row r="73" spans="1:3" ht="13.5" thickBot="1">
      <c r="A73" s="1" t="s">
        <v>12</v>
      </c>
      <c r="B73" s="5">
        <f>$B$1*B72</f>
        <v>12988.169999999998</v>
      </c>
      <c r="C73" s="5">
        <f>$B$1*C72</f>
        <v>25632.87</v>
      </c>
    </row>
    <row r="74" spans="1:3" ht="14.25" thickBot="1" thickTop="1">
      <c r="A74" s="1" t="s">
        <v>7</v>
      </c>
      <c r="B74" s="4">
        <f>B72-B73</f>
        <v>30305.729999999996</v>
      </c>
      <c r="C74" s="4">
        <f>C72-C73</f>
        <v>59810.03</v>
      </c>
    </row>
    <row r="75" spans="1:3" ht="13.5" thickTop="1">
      <c r="A75" s="1" t="s">
        <v>8</v>
      </c>
      <c r="B75" s="3">
        <f>B61+B74</f>
        <v>63244.729999999996</v>
      </c>
      <c r="C75" s="3">
        <f>C61+C74</f>
        <v>114239.03</v>
      </c>
    </row>
    <row r="76" spans="1:3" ht="12.75">
      <c r="A76" s="1" t="s">
        <v>9</v>
      </c>
      <c r="B76" s="3">
        <f>-$B$21</f>
        <v>-10000</v>
      </c>
      <c r="C76" s="3">
        <f>-$B$21</f>
        <v>-10000</v>
      </c>
    </row>
    <row r="77" spans="1:3" ht="13.5" thickBot="1">
      <c r="A77" s="1" t="s">
        <v>10</v>
      </c>
      <c r="B77" s="4">
        <f>-B75-B76</f>
        <v>-53244.729999999996</v>
      </c>
      <c r="C77" s="4">
        <f>-C75-C76</f>
        <v>-104239.03</v>
      </c>
    </row>
    <row r="78" spans="1:5" ht="14.25" thickBot="1" thickTop="1">
      <c r="A78" s="1" t="s">
        <v>14</v>
      </c>
      <c r="B78" s="15">
        <f>$B$21</f>
        <v>10000</v>
      </c>
      <c r="C78" s="15">
        <f>$B$21</f>
        <v>10000</v>
      </c>
      <c r="D78" s="30" t="s">
        <v>22</v>
      </c>
      <c r="E78" s="29"/>
    </row>
    <row r="79" spans="1:5" ht="14.25" thickBot="1" thickTop="1">
      <c r="A79" s="1" t="s">
        <v>11</v>
      </c>
      <c r="B79" s="12">
        <f>B74/B78</f>
        <v>3.0305729999999995</v>
      </c>
      <c r="C79" s="12">
        <f>C74/C78</f>
        <v>5.981003</v>
      </c>
      <c r="D79" s="31" t="s">
        <v>20</v>
      </c>
      <c r="E79" s="32" t="s">
        <v>15</v>
      </c>
    </row>
    <row r="80" spans="1:5" ht="14.25" thickBot="1" thickTop="1">
      <c r="A80" s="1" t="s">
        <v>16</v>
      </c>
      <c r="B80" s="3">
        <v>0</v>
      </c>
      <c r="C80" s="3">
        <f>D80+E80</f>
        <v>120000</v>
      </c>
      <c r="D80" s="22">
        <f>B33</f>
        <v>0</v>
      </c>
      <c r="E80" s="23">
        <f>C33</f>
        <v>120000</v>
      </c>
    </row>
    <row r="81" spans="1:5" ht="14.25" thickBot="1" thickTop="1">
      <c r="A81" s="21"/>
      <c r="B81" s="21"/>
      <c r="C81" s="21"/>
      <c r="D81" s="24"/>
      <c r="E81" s="24"/>
    </row>
    <row r="82" spans="1:5" ht="14.25" thickBot="1" thickTop="1">
      <c r="A82" t="s">
        <v>19</v>
      </c>
      <c r="B82" s="11" t="s">
        <v>3</v>
      </c>
      <c r="C82" s="17" t="s">
        <v>4</v>
      </c>
      <c r="D82" s="27" t="s">
        <v>21</v>
      </c>
      <c r="E82" s="28" t="s">
        <v>21</v>
      </c>
    </row>
    <row r="83" spans="1:3" ht="13.5" thickTop="1">
      <c r="A83" s="1" t="s">
        <v>101</v>
      </c>
      <c r="B83" s="3">
        <f>2*B69</f>
        <v>160000</v>
      </c>
      <c r="C83" s="3">
        <f>B83</f>
        <v>160000</v>
      </c>
    </row>
    <row r="84" spans="1:3" ht="12.75">
      <c r="A84" s="1" t="s">
        <v>100</v>
      </c>
      <c r="B84" s="3">
        <f>$B$25*B75</f>
        <v>6324.473</v>
      </c>
      <c r="C84" s="3">
        <f>$B$25*C75</f>
        <v>11423.903</v>
      </c>
    </row>
    <row r="85" spans="1:3" ht="13.5" thickBot="1">
      <c r="A85" s="1" t="s">
        <v>6</v>
      </c>
      <c r="B85" s="5">
        <f>0.5*B83</f>
        <v>80000</v>
      </c>
      <c r="C85" s="5">
        <v>0</v>
      </c>
    </row>
    <row r="86" spans="1:3" ht="13.5" thickTop="1">
      <c r="A86" s="1" t="s">
        <v>13</v>
      </c>
      <c r="B86" s="13">
        <f>B83+B84-B85</f>
        <v>86324.473</v>
      </c>
      <c r="C86" s="13">
        <f>C83+C84-C85</f>
        <v>171423.903</v>
      </c>
    </row>
    <row r="87" spans="1:3" ht="13.5" thickBot="1">
      <c r="A87" s="1" t="s">
        <v>12</v>
      </c>
      <c r="B87" s="5">
        <f>$B$1*B86</f>
        <v>25897.3419</v>
      </c>
      <c r="C87" s="5">
        <f>$B$1*C86</f>
        <v>51427.1709</v>
      </c>
    </row>
    <row r="88" spans="1:3" ht="14.25" thickBot="1" thickTop="1">
      <c r="A88" s="1" t="s">
        <v>7</v>
      </c>
      <c r="B88" s="4">
        <f>B86-B87</f>
        <v>60427.1311</v>
      </c>
      <c r="C88" s="4">
        <f>C86-C87</f>
        <v>119996.7321</v>
      </c>
    </row>
    <row r="89" spans="1:3" ht="13.5" thickTop="1">
      <c r="A89" s="1" t="s">
        <v>8</v>
      </c>
      <c r="B89" s="3">
        <f>B75+B88</f>
        <v>123671.8611</v>
      </c>
      <c r="C89" s="3">
        <f>C75+C88</f>
        <v>234235.7621</v>
      </c>
    </row>
    <row r="90" spans="1:3" ht="12.75">
      <c r="A90" s="1" t="s">
        <v>9</v>
      </c>
      <c r="B90" s="3">
        <f>-$B$21</f>
        <v>-10000</v>
      </c>
      <c r="C90" s="3">
        <f>-$B$21</f>
        <v>-10000</v>
      </c>
    </row>
    <row r="91" spans="1:3" ht="13.5" thickBot="1">
      <c r="A91" s="1" t="s">
        <v>10</v>
      </c>
      <c r="B91" s="4">
        <f>-B89-B90</f>
        <v>-113671.8611</v>
      </c>
      <c r="C91" s="4">
        <f>-C89-C90</f>
        <v>-224235.7621</v>
      </c>
    </row>
    <row r="92" spans="1:5" ht="14.25" thickBot="1" thickTop="1">
      <c r="A92" s="1" t="s">
        <v>14</v>
      </c>
      <c r="B92" s="15">
        <f>$B$21</f>
        <v>10000</v>
      </c>
      <c r="C92" s="15">
        <f>$B$21</f>
        <v>10000</v>
      </c>
      <c r="D92" s="30" t="s">
        <v>22</v>
      </c>
      <c r="E92" s="29"/>
    </row>
    <row r="93" spans="1:5" ht="14.25" thickBot="1" thickTop="1">
      <c r="A93" s="1" t="s">
        <v>11</v>
      </c>
      <c r="B93" s="12">
        <f>B88/B92</f>
        <v>6.04271311</v>
      </c>
      <c r="C93" s="12">
        <f>C88/C92</f>
        <v>11.99967321</v>
      </c>
      <c r="D93" s="31" t="s">
        <v>20</v>
      </c>
      <c r="E93" s="32" t="s">
        <v>15</v>
      </c>
    </row>
    <row r="94" spans="1:5" ht="14.25" thickBot="1" thickTop="1">
      <c r="A94" s="1" t="s">
        <v>16</v>
      </c>
      <c r="B94" s="3">
        <v>0</v>
      </c>
      <c r="C94" s="3">
        <f>D94+E94</f>
        <v>300000</v>
      </c>
      <c r="D94" s="33">
        <f>B34</f>
        <v>250000</v>
      </c>
      <c r="E94" s="34">
        <f>C34</f>
        <v>50000</v>
      </c>
    </row>
    <row r="95" spans="1:5" ht="14.25" thickBot="1" thickTop="1">
      <c r="A95" s="21"/>
      <c r="B95" s="21"/>
      <c r="C95" s="21"/>
      <c r="D95" s="24"/>
      <c r="E95" s="24"/>
    </row>
    <row r="96" spans="1:5" ht="14.25" thickBot="1" thickTop="1">
      <c r="A96" t="s">
        <v>23</v>
      </c>
      <c r="B96" s="11" t="s">
        <v>3</v>
      </c>
      <c r="C96" s="17" t="s">
        <v>4</v>
      </c>
      <c r="D96" s="27" t="s">
        <v>21</v>
      </c>
      <c r="E96" s="28" t="s">
        <v>21</v>
      </c>
    </row>
    <row r="97" spans="1:3" ht="13.5" thickTop="1">
      <c r="A97" s="1" t="s">
        <v>101</v>
      </c>
      <c r="B97" s="3">
        <f>2*B83</f>
        <v>320000</v>
      </c>
      <c r="C97" s="3">
        <f>B97</f>
        <v>320000</v>
      </c>
    </row>
    <row r="98" spans="1:3" ht="12.75">
      <c r="A98" s="1" t="s">
        <v>100</v>
      </c>
      <c r="B98" s="3">
        <f>$B$25*B89</f>
        <v>12367.18611</v>
      </c>
      <c r="C98" s="3">
        <f>$B$25*C89</f>
        <v>23423.57621</v>
      </c>
    </row>
    <row r="99" spans="1:3" ht="13.5" thickBot="1">
      <c r="A99" s="1" t="s">
        <v>6</v>
      </c>
      <c r="B99" s="5">
        <f>0.5*B97</f>
        <v>160000</v>
      </c>
      <c r="C99" s="5">
        <v>0</v>
      </c>
    </row>
    <row r="100" spans="1:3" ht="13.5" thickTop="1">
      <c r="A100" s="1" t="s">
        <v>13</v>
      </c>
      <c r="B100" s="13">
        <f>B97+B98-B99</f>
        <v>172367.18611</v>
      </c>
      <c r="C100" s="13">
        <f>C97+C98-C99</f>
        <v>343423.57620999997</v>
      </c>
    </row>
    <row r="101" spans="1:4" ht="13.5" thickBot="1">
      <c r="A101" s="1" t="s">
        <v>12</v>
      </c>
      <c r="B101" s="5">
        <f>$B$1*B100</f>
        <v>51710.155833000004</v>
      </c>
      <c r="C101" s="5">
        <f>$B$1*C100</f>
        <v>103027.072863</v>
      </c>
      <c r="D101" s="3" t="s">
        <v>21</v>
      </c>
    </row>
    <row r="102" spans="1:4" ht="14.25" thickBot="1" thickTop="1">
      <c r="A102" s="1" t="s">
        <v>7</v>
      </c>
      <c r="B102" s="4">
        <f>B100-B101</f>
        <v>120657.03027700001</v>
      </c>
      <c r="C102" s="4">
        <f>C100-C101</f>
        <v>240396.503347</v>
      </c>
      <c r="D102" s="3" t="s">
        <v>21</v>
      </c>
    </row>
    <row r="103" spans="1:4" ht="14.25" thickBot="1" thickTop="1">
      <c r="A103" s="1" t="s">
        <v>8</v>
      </c>
      <c r="B103" s="3">
        <f>B89+B102</f>
        <v>244328.89137700002</v>
      </c>
      <c r="C103" s="100"/>
      <c r="D103" s="35" t="s">
        <v>21</v>
      </c>
    </row>
    <row r="104" spans="1:4" ht="14.25" thickBot="1" thickTop="1">
      <c r="A104" s="1" t="s">
        <v>9</v>
      </c>
      <c r="B104" s="3">
        <f>-$B$21</f>
        <v>-10000</v>
      </c>
      <c r="C104" s="100"/>
      <c r="D104" s="3" t="s">
        <v>21</v>
      </c>
    </row>
    <row r="105" spans="1:4" ht="14.25" thickBot="1" thickTop="1">
      <c r="A105" s="1" t="s">
        <v>10</v>
      </c>
      <c r="B105" s="4">
        <f>-B103-B104</f>
        <v>-234328.89137700002</v>
      </c>
      <c r="C105" s="100"/>
      <c r="D105" s="3" t="s">
        <v>21</v>
      </c>
    </row>
    <row r="106" spans="1:5" ht="14.25" thickBot="1" thickTop="1">
      <c r="A106" s="1" t="s">
        <v>14</v>
      </c>
      <c r="B106" s="15">
        <f>B21</f>
        <v>10000</v>
      </c>
      <c r="C106" s="101"/>
      <c r="D106" s="97" t="s">
        <v>22</v>
      </c>
      <c r="E106" s="29"/>
    </row>
    <row r="107" spans="1:5" ht="14.25" thickBot="1" thickTop="1">
      <c r="A107" s="1" t="s">
        <v>11</v>
      </c>
      <c r="B107" s="12">
        <f>B102/B106</f>
        <v>12.065703027700001</v>
      </c>
      <c r="C107" s="102"/>
      <c r="D107" s="98" t="s">
        <v>20</v>
      </c>
      <c r="E107" s="32" t="s">
        <v>15</v>
      </c>
    </row>
    <row r="108" spans="1:5" ht="14.25" thickBot="1" thickTop="1">
      <c r="A108" s="1" t="s">
        <v>24</v>
      </c>
      <c r="B108" s="3">
        <v>0</v>
      </c>
      <c r="C108" s="100"/>
      <c r="D108" s="99">
        <v>500000</v>
      </c>
      <c r="E108" s="34">
        <f>C35</f>
        <v>0</v>
      </c>
    </row>
    <row r="109" spans="1:5" ht="14.25" thickBot="1" thickTop="1">
      <c r="A109" s="1" t="s">
        <v>25</v>
      </c>
      <c r="C109" s="100"/>
      <c r="D109" s="99">
        <v>0</v>
      </c>
      <c r="E109" s="34">
        <v>0</v>
      </c>
    </row>
    <row r="110" spans="1:5" ht="14.25" thickBot="1" thickTop="1">
      <c r="A110" s="1" t="s">
        <v>32</v>
      </c>
      <c r="B110" s="45">
        <f>(B103-0)/B106</f>
        <v>24.432889137700002</v>
      </c>
      <c r="C110" s="103"/>
      <c r="E110" s="28"/>
    </row>
    <row r="111" spans="1:5" ht="13.5" thickTop="1">
      <c r="A111" s="1"/>
      <c r="B111" s="45"/>
      <c r="C111" s="45"/>
      <c r="E111" s="28"/>
    </row>
    <row r="112" ht="12.75">
      <c r="B112" s="71" t="s">
        <v>21</v>
      </c>
    </row>
    <row r="113" ht="13.5" thickBot="1">
      <c r="C113" s="1" t="s">
        <v>28</v>
      </c>
    </row>
    <row r="114" spans="1:3" ht="14.25" thickBot="1" thickTop="1">
      <c r="A114" s="36"/>
      <c r="B114" s="37" t="s">
        <v>104</v>
      </c>
      <c r="C114" s="42">
        <v>780000</v>
      </c>
    </row>
    <row r="115" spans="1:3" ht="14.25" thickBot="1" thickTop="1">
      <c r="A115" s="38"/>
      <c r="B115" s="39" t="s">
        <v>102</v>
      </c>
      <c r="C115" s="100"/>
    </row>
    <row r="116" spans="1:6" ht="14.25" thickBot="1" thickTop="1">
      <c r="A116" s="38"/>
      <c r="B116" s="39" t="s">
        <v>54</v>
      </c>
      <c r="C116" s="100"/>
      <c r="F116" s="2" t="s">
        <v>21</v>
      </c>
    </row>
    <row r="117" spans="1:3" ht="14.25" thickBot="1" thickTop="1">
      <c r="A117" s="40"/>
      <c r="B117" s="41" t="s">
        <v>26</v>
      </c>
      <c r="C117" s="55"/>
    </row>
    <row r="118" ht="13.5" thickTop="1">
      <c r="C118" s="3"/>
    </row>
    <row r="119" ht="13.5" thickBot="1">
      <c r="C119" s="1" t="s">
        <v>29</v>
      </c>
    </row>
    <row r="120" spans="1:3" ht="14.25" thickBot="1" thickTop="1">
      <c r="A120" s="36"/>
      <c r="B120" s="37" t="s">
        <v>105</v>
      </c>
      <c r="C120" s="42">
        <v>-160000</v>
      </c>
    </row>
    <row r="121" spans="1:3" ht="14.25" thickBot="1" thickTop="1">
      <c r="A121" s="38"/>
      <c r="B121" s="39" t="s">
        <v>63</v>
      </c>
      <c r="C121" s="100"/>
    </row>
    <row r="122" spans="1:3" ht="14.25" thickBot="1" thickTop="1">
      <c r="A122" s="40"/>
      <c r="B122" s="41" t="s">
        <v>27</v>
      </c>
      <c r="C122" s="55"/>
    </row>
    <row r="123" spans="2:3" ht="13.5" thickTop="1">
      <c r="B123" s="2"/>
      <c r="C123" s="3"/>
    </row>
    <row r="124" ht="13.5" thickBot="1">
      <c r="C124" s="1" t="s">
        <v>30</v>
      </c>
    </row>
    <row r="125" spans="1:5" ht="14.25" thickBot="1" thickTop="1">
      <c r="A125" s="36"/>
      <c r="B125" s="37" t="s">
        <v>103</v>
      </c>
      <c r="C125" s="42">
        <v>-620000</v>
      </c>
      <c r="E125" s="3" t="s">
        <v>21</v>
      </c>
    </row>
    <row r="126" spans="1:5" ht="14.25" thickBot="1" thickTop="1">
      <c r="A126" s="38"/>
      <c r="B126" s="39" t="s">
        <v>102</v>
      </c>
      <c r="C126" s="100"/>
      <c r="E126" s="3" t="s">
        <v>21</v>
      </c>
    </row>
    <row r="127" spans="1:5" ht="14.25" thickBot="1" thickTop="1">
      <c r="A127" s="38"/>
      <c r="B127" s="39" t="s">
        <v>55</v>
      </c>
      <c r="C127" s="100"/>
      <c r="E127" s="3" t="s">
        <v>21</v>
      </c>
    </row>
    <row r="128" spans="1:5" ht="14.25" thickBot="1" thickTop="1">
      <c r="A128" s="40"/>
      <c r="B128" s="41" t="s">
        <v>31</v>
      </c>
      <c r="C128" s="55"/>
      <c r="E128" s="3" t="s">
        <v>21</v>
      </c>
    </row>
    <row r="129" spans="1:3" ht="13.5" thickTop="1">
      <c r="A129" t="s">
        <v>34</v>
      </c>
      <c r="B129" s="2"/>
      <c r="C129" s="3" t="s">
        <v>21</v>
      </c>
    </row>
    <row r="130" spans="1:3" ht="12.75">
      <c r="A130" t="s">
        <v>35</v>
      </c>
      <c r="B130" s="2"/>
      <c r="C130" s="3"/>
    </row>
    <row r="131" spans="1:3" ht="12.75">
      <c r="A131" t="s">
        <v>33</v>
      </c>
      <c r="B131" s="2"/>
      <c r="C131" s="3"/>
    </row>
    <row r="132" spans="1:3" ht="12.75">
      <c r="A132" t="s">
        <v>36</v>
      </c>
      <c r="B132" s="2"/>
      <c r="C132" s="3"/>
    </row>
    <row r="133" spans="1:3" ht="12.75">
      <c r="A133" t="s">
        <v>37</v>
      </c>
      <c r="B133" s="2"/>
      <c r="C133" s="3"/>
    </row>
    <row r="134" spans="1:3" ht="12.75">
      <c r="A134" t="s">
        <v>38</v>
      </c>
      <c r="B134" s="2"/>
      <c r="C134" s="3"/>
    </row>
    <row r="135" spans="2:3" ht="12.75">
      <c r="B135" s="2"/>
      <c r="C135" s="3"/>
    </row>
    <row r="136" spans="1:5" ht="13.5" thickBot="1">
      <c r="A136" s="21"/>
      <c r="B136" s="21"/>
      <c r="C136" s="21"/>
      <c r="D136"/>
      <c r="E136"/>
    </row>
    <row r="137" spans="1:3" s="76" customFormat="1" ht="14.25" thickBot="1" thickTop="1">
      <c r="A137" s="73" t="s">
        <v>97</v>
      </c>
      <c r="B137" s="74" t="s">
        <v>3</v>
      </c>
      <c r="C137" s="75" t="s">
        <v>4</v>
      </c>
    </row>
    <row r="138" spans="1:3" s="76" customFormat="1" ht="13.5" thickTop="1">
      <c r="A138" s="73">
        <v>0</v>
      </c>
      <c r="B138" s="61">
        <f>B46</f>
        <v>7700</v>
      </c>
      <c r="C138" s="61">
        <v>10000</v>
      </c>
    </row>
    <row r="139" spans="1:3" s="76" customFormat="1" ht="12.75">
      <c r="A139" s="76">
        <v>1</v>
      </c>
      <c r="B139" s="77">
        <f>B46</f>
        <v>7700</v>
      </c>
      <c r="C139" s="77">
        <f>C46</f>
        <v>14700</v>
      </c>
    </row>
    <row r="140" spans="1:3" s="76" customFormat="1" ht="12.75">
      <c r="A140" s="76">
        <v>2</v>
      </c>
      <c r="B140" s="77">
        <f>B60</f>
        <v>15239</v>
      </c>
      <c r="C140" s="77">
        <f>C60</f>
        <v>29729</v>
      </c>
    </row>
    <row r="141" spans="1:3" s="76" customFormat="1" ht="12.75">
      <c r="A141" s="76">
        <v>3</v>
      </c>
      <c r="B141" s="77">
        <f>B74</f>
        <v>30305.729999999996</v>
      </c>
      <c r="C141" s="77">
        <f>C74</f>
        <v>59810.03</v>
      </c>
    </row>
    <row r="142" spans="1:3" s="76" customFormat="1" ht="12.75">
      <c r="A142" s="72">
        <v>4</v>
      </c>
      <c r="B142" s="77">
        <f>B88</f>
        <v>60427.1311</v>
      </c>
      <c r="C142" s="77">
        <f>C88</f>
        <v>119996.7321</v>
      </c>
    </row>
    <row r="143" spans="1:3" s="76" customFormat="1" ht="13.5" thickBot="1">
      <c r="A143" s="72">
        <v>5</v>
      </c>
      <c r="B143" s="77">
        <f>B102</f>
        <v>120657.03027700001</v>
      </c>
      <c r="C143" s="77">
        <f>C102</f>
        <v>240396.503347</v>
      </c>
    </row>
    <row r="144" spans="1:3" s="76" customFormat="1" ht="14.25" thickBot="1" thickTop="1">
      <c r="A144" s="78" t="s">
        <v>93</v>
      </c>
      <c r="B144" s="79">
        <f>B138+NPV(B151,B139:B143)</f>
        <v>166254.4248635525</v>
      </c>
      <c r="C144" s="79">
        <f>C138+NPV(C151,C139:C143)</f>
        <v>324095.91617375845</v>
      </c>
    </row>
    <row r="145" spans="1:3" s="76" customFormat="1" ht="13.5" thickTop="1">
      <c r="A145" s="78" t="s">
        <v>71</v>
      </c>
      <c r="B145" s="96">
        <f>B25</f>
        <v>0.1</v>
      </c>
      <c r="C145" s="96">
        <f>B25</f>
        <v>0.1</v>
      </c>
    </row>
    <row r="146" spans="1:5" ht="12.75">
      <c r="A146" s="51" t="s">
        <v>88</v>
      </c>
      <c r="B146" s="77">
        <f>B159</f>
        <v>151709.01849538338</v>
      </c>
      <c r="C146" s="95"/>
      <c r="D146"/>
      <c r="E146"/>
    </row>
    <row r="147" spans="1:5" ht="12.75">
      <c r="A147" s="51" t="s">
        <v>94</v>
      </c>
      <c r="B147" s="77">
        <f>B176</f>
        <v>151709.0184953834</v>
      </c>
      <c r="C147" s="95"/>
      <c r="D147" s="2" t="s">
        <v>21</v>
      </c>
      <c r="E147"/>
    </row>
    <row r="148" spans="1:5" ht="12.75">
      <c r="A148" s="51" t="s">
        <v>95</v>
      </c>
      <c r="B148" s="77">
        <f>B191</f>
        <v>151709.01849538338</v>
      </c>
      <c r="C148" s="95"/>
      <c r="D148"/>
      <c r="E148"/>
    </row>
    <row r="149" spans="1:2" ht="13.5" thickBot="1">
      <c r="A149" s="51" t="s">
        <v>21</v>
      </c>
      <c r="B149" s="82" t="s">
        <v>21</v>
      </c>
    </row>
    <row r="150" spans="1:3" ht="14.25" thickBot="1" thickTop="1">
      <c r="A150" s="56" t="s">
        <v>88</v>
      </c>
      <c r="B150" s="74" t="s">
        <v>3</v>
      </c>
      <c r="C150" s="75" t="s">
        <v>4</v>
      </c>
    </row>
    <row r="151" spans="1:3" ht="14.25" thickBot="1" thickTop="1">
      <c r="A151" s="1" t="s">
        <v>71</v>
      </c>
      <c r="B151" s="83">
        <f>B145</f>
        <v>0.1</v>
      </c>
      <c r="C151" s="83">
        <f>C145</f>
        <v>0.1</v>
      </c>
    </row>
    <row r="152" spans="1:3" ht="14.25" thickBot="1" thickTop="1">
      <c r="A152" s="1" t="s">
        <v>73</v>
      </c>
      <c r="B152" s="65" t="s">
        <v>96</v>
      </c>
      <c r="C152" s="65" t="s">
        <v>96</v>
      </c>
    </row>
    <row r="153" spans="1:3" ht="13.5" thickTop="1">
      <c r="A153">
        <v>1</v>
      </c>
      <c r="B153" s="58">
        <v>0</v>
      </c>
      <c r="C153" s="58">
        <v>0</v>
      </c>
    </row>
    <row r="154" spans="1:3" ht="12.75">
      <c r="A154">
        <v>2</v>
      </c>
      <c r="B154" s="59">
        <v>0</v>
      </c>
      <c r="C154" s="59">
        <v>0</v>
      </c>
    </row>
    <row r="155" spans="1:3" ht="12.75">
      <c r="A155">
        <v>3</v>
      </c>
      <c r="B155" s="59">
        <v>0</v>
      </c>
      <c r="C155" s="59">
        <v>0</v>
      </c>
    </row>
    <row r="156" spans="1:3" ht="12.75">
      <c r="A156">
        <v>4</v>
      </c>
      <c r="B156" s="59">
        <v>0</v>
      </c>
      <c r="C156" s="59">
        <v>0</v>
      </c>
    </row>
    <row r="157" spans="1:3" ht="12.75">
      <c r="A157">
        <v>5</v>
      </c>
      <c r="B157" s="59">
        <f>B103</f>
        <v>244328.89137700002</v>
      </c>
      <c r="C157" s="91"/>
    </row>
    <row r="158" spans="1:3" ht="13.5" thickBot="1">
      <c r="A158" s="1" t="s">
        <v>83</v>
      </c>
      <c r="B158" s="22">
        <v>0</v>
      </c>
      <c r="C158" s="92"/>
    </row>
    <row r="159" spans="1:3" ht="14.25" thickBot="1" thickTop="1">
      <c r="A159" s="1" t="s">
        <v>86</v>
      </c>
      <c r="B159" s="60">
        <f>B158/((1+B151)^($A157))+NPV(B151,B153:B157)</f>
        <v>151709.01849538338</v>
      </c>
      <c r="C159" s="93"/>
    </row>
    <row r="160" spans="1:3" ht="13.5" thickTop="1">
      <c r="A160" s="1" t="s">
        <v>87</v>
      </c>
      <c r="B160" s="45">
        <f>B159/B106</f>
        <v>15.170901849538339</v>
      </c>
      <c r="C160" s="90"/>
    </row>
    <row r="161" spans="1:5" ht="12.75">
      <c r="A161" s="21"/>
      <c r="B161" s="21"/>
      <c r="C161" s="21"/>
      <c r="D161"/>
      <c r="E161"/>
    </row>
    <row r="162" spans="2:5" ht="12.75">
      <c r="B162" s="2"/>
      <c r="C162" s="2"/>
      <c r="D162"/>
      <c r="E162"/>
    </row>
    <row r="163" spans="1:5" ht="12.75">
      <c r="A163" s="51" t="s">
        <v>77</v>
      </c>
      <c r="B163" s="2"/>
      <c r="C163" s="2"/>
      <c r="D163"/>
      <c r="E163"/>
    </row>
    <row r="164" ht="13.5" thickBot="1"/>
    <row r="165" spans="1:3" ht="14.25" thickBot="1" thickTop="1">
      <c r="A165" s="56" t="s">
        <v>77</v>
      </c>
      <c r="B165" s="74" t="s">
        <v>3</v>
      </c>
      <c r="C165" s="75" t="s">
        <v>4</v>
      </c>
    </row>
    <row r="166" spans="1:3" ht="14.25" thickBot="1" thickTop="1">
      <c r="A166" s="1" t="s">
        <v>80</v>
      </c>
      <c r="B166" s="84">
        <f>B151</f>
        <v>0.1</v>
      </c>
      <c r="C166" s="84">
        <f>C151</f>
        <v>0.1</v>
      </c>
    </row>
    <row r="167" spans="1:3" ht="14.25" thickBot="1" thickTop="1">
      <c r="A167" s="1" t="s">
        <v>73</v>
      </c>
      <c r="B167" s="57" t="s">
        <v>81</v>
      </c>
      <c r="C167" s="57" t="s">
        <v>81</v>
      </c>
    </row>
    <row r="168" spans="1:3" ht="14.25" thickBot="1" thickTop="1">
      <c r="A168" s="1">
        <v>0</v>
      </c>
      <c r="B168" s="64">
        <v>10000</v>
      </c>
      <c r="C168" s="64">
        <v>10000</v>
      </c>
    </row>
    <row r="169" spans="1:4" ht="14.25" thickBot="1" thickTop="1">
      <c r="A169" s="1"/>
      <c r="B169" s="57" t="s">
        <v>82</v>
      </c>
      <c r="C169" s="57" t="s">
        <v>82</v>
      </c>
      <c r="D169" s="66" t="s">
        <v>84</v>
      </c>
    </row>
    <row r="170" spans="1:4" ht="13.5" thickTop="1">
      <c r="A170">
        <v>1</v>
      </c>
      <c r="B170" s="59">
        <f>B139-B$145*B168</f>
        <v>6700</v>
      </c>
      <c r="C170" s="91"/>
      <c r="D170" s="66" t="s">
        <v>84</v>
      </c>
    </row>
    <row r="171" spans="1:4" ht="12.75">
      <c r="A171">
        <v>2</v>
      </c>
      <c r="B171" s="59">
        <f>B140-B$145*(B47)</f>
        <v>13469</v>
      </c>
      <c r="C171" s="91"/>
      <c r="D171" s="66" t="s">
        <v>84</v>
      </c>
    </row>
    <row r="172" spans="1:4" ht="12.75">
      <c r="A172">
        <v>3</v>
      </c>
      <c r="B172" s="59">
        <f>B141-B$145*(B61)</f>
        <v>27011.829999999994</v>
      </c>
      <c r="C172" s="91"/>
      <c r="D172" s="66" t="s">
        <v>84</v>
      </c>
    </row>
    <row r="173" spans="1:4" ht="12.75">
      <c r="A173">
        <v>4</v>
      </c>
      <c r="B173" s="59">
        <f>B142-B$145*(B75)</f>
        <v>54102.6581</v>
      </c>
      <c r="C173" s="91"/>
      <c r="D173" s="66" t="s">
        <v>84</v>
      </c>
    </row>
    <row r="174" spans="1:4" ht="12.75">
      <c r="A174">
        <v>5</v>
      </c>
      <c r="B174" s="59">
        <f>B143-B$145*(B89)</f>
        <v>108289.84416700002</v>
      </c>
      <c r="C174" s="91"/>
      <c r="D174" s="66" t="s">
        <v>84</v>
      </c>
    </row>
    <row r="175" spans="1:4" ht="13.5" thickBot="1">
      <c r="A175" s="1" t="s">
        <v>83</v>
      </c>
      <c r="B175" s="22">
        <f>0</f>
        <v>0</v>
      </c>
      <c r="C175" s="92"/>
      <c r="D175" s="66" t="s">
        <v>85</v>
      </c>
    </row>
    <row r="176" spans="1:3" ht="14.25" thickBot="1" thickTop="1">
      <c r="A176" s="1" t="s">
        <v>78</v>
      </c>
      <c r="B176" s="60">
        <f>B168+NPV(B151,B170:B174)</f>
        <v>151709.0184953834</v>
      </c>
      <c r="C176" s="93"/>
    </row>
    <row r="177" spans="1:3" ht="13.5" thickTop="1">
      <c r="A177" s="1" t="s">
        <v>79</v>
      </c>
      <c r="B177" s="45">
        <f>B176/B106</f>
        <v>15.17090184953834</v>
      </c>
      <c r="C177" s="90"/>
    </row>
    <row r="178" spans="2:5" ht="12.75">
      <c r="B178" s="2"/>
      <c r="C178" s="2"/>
      <c r="D178"/>
      <c r="E178"/>
    </row>
    <row r="179" spans="1:5" ht="12.75">
      <c r="A179" s="21"/>
      <c r="B179" s="21"/>
      <c r="C179" s="21"/>
      <c r="D179"/>
      <c r="E179"/>
    </row>
    <row r="180" spans="1:5" ht="12.75">
      <c r="A180" s="51" t="s">
        <v>70</v>
      </c>
      <c r="B180" s="2"/>
      <c r="C180" s="2"/>
      <c r="D180"/>
      <c r="E180"/>
    </row>
    <row r="181" ht="13.5" thickBot="1"/>
    <row r="182" spans="1:3" ht="14.25" thickBot="1" thickTop="1">
      <c r="A182" s="56" t="s">
        <v>70</v>
      </c>
      <c r="B182" s="74" t="s">
        <v>3</v>
      </c>
      <c r="C182" s="75" t="s">
        <v>4</v>
      </c>
    </row>
    <row r="183" spans="1:3" ht="14.25" thickBot="1" thickTop="1">
      <c r="A183" s="1" t="s">
        <v>71</v>
      </c>
      <c r="B183" s="85">
        <f>B151</f>
        <v>0.1</v>
      </c>
      <c r="C183" s="67">
        <f>C151</f>
        <v>0.1</v>
      </c>
    </row>
    <row r="184" spans="1:3" ht="14.25" thickBot="1" thickTop="1">
      <c r="A184" s="1" t="s">
        <v>73</v>
      </c>
      <c r="B184" s="62" t="s">
        <v>72</v>
      </c>
      <c r="C184" s="65" t="s">
        <v>72</v>
      </c>
    </row>
    <row r="185" spans="1:3" ht="13.5" thickTop="1">
      <c r="A185">
        <v>1</v>
      </c>
      <c r="B185" s="86">
        <f>B153</f>
        <v>0</v>
      </c>
      <c r="C185" s="86">
        <f>C153</f>
        <v>0</v>
      </c>
    </row>
    <row r="186" spans="1:3" ht="12.75">
      <c r="A186">
        <v>2</v>
      </c>
      <c r="B186" s="86">
        <f aca="true" t="shared" si="0" ref="B186:C189">B154</f>
        <v>0</v>
      </c>
      <c r="C186" s="86">
        <f t="shared" si="0"/>
        <v>0</v>
      </c>
    </row>
    <row r="187" spans="1:3" ht="12.75">
      <c r="A187">
        <v>3</v>
      </c>
      <c r="B187" s="86">
        <f t="shared" si="0"/>
        <v>0</v>
      </c>
      <c r="C187" s="86">
        <f t="shared" si="0"/>
        <v>0</v>
      </c>
    </row>
    <row r="188" spans="1:3" ht="12.75">
      <c r="A188">
        <v>4</v>
      </c>
      <c r="B188" s="86">
        <f t="shared" si="0"/>
        <v>0</v>
      </c>
      <c r="C188" s="86">
        <f t="shared" si="0"/>
        <v>0</v>
      </c>
    </row>
    <row r="189" spans="1:3" ht="12.75">
      <c r="A189">
        <v>5</v>
      </c>
      <c r="B189" s="86">
        <f t="shared" si="0"/>
        <v>244328.89137700002</v>
      </c>
      <c r="C189" s="94"/>
    </row>
    <row r="190" spans="1:3" ht="13.5" thickBot="1">
      <c r="A190" s="1" t="s">
        <v>83</v>
      </c>
      <c r="B190" s="63">
        <v>0</v>
      </c>
      <c r="C190" s="92"/>
    </row>
    <row r="191" spans="1:3" ht="14.25" thickBot="1" thickTop="1">
      <c r="A191" s="1" t="s">
        <v>74</v>
      </c>
      <c r="B191" s="60">
        <f>NPV(B183,B185:B189)</f>
        <v>151709.01849538338</v>
      </c>
      <c r="C191" s="93"/>
    </row>
    <row r="192" spans="1:3" ht="13.5" thickTop="1">
      <c r="A192" s="1" t="s">
        <v>75</v>
      </c>
      <c r="B192" s="45">
        <f>B191/B106</f>
        <v>15.170901849538339</v>
      </c>
      <c r="C192" s="90"/>
    </row>
    <row r="193" spans="2:5" ht="12.75">
      <c r="B193" s="2"/>
      <c r="C193" s="2"/>
      <c r="D193"/>
      <c r="E193"/>
    </row>
    <row r="194" spans="2:5" ht="12.75">
      <c r="B194" s="2"/>
      <c r="C194" s="2"/>
      <c r="D194"/>
      <c r="E194"/>
    </row>
  </sheetData>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Trinity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rjensen</dc:creator>
  <cp:keywords/>
  <dc:description/>
  <cp:lastModifiedBy>rjensen</cp:lastModifiedBy>
  <cp:lastPrinted>2002-04-08T12:18:52Z</cp:lastPrinted>
  <dcterms:created xsi:type="dcterms:W3CDTF">2002-04-06T12:41:19Z</dcterms:created>
  <dcterms:modified xsi:type="dcterms:W3CDTF">2002-04-26T14:14:44Z</dcterms:modified>
  <cp:category/>
  <cp:version/>
  <cp:contentType/>
  <cp:contentStatus/>
</cp:coreProperties>
</file>