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285" activeTab="0"/>
  </bookViews>
  <sheets>
    <sheet name="Warmup Answers" sheetId="1" r:id="rId1"/>
    <sheet name="Warmup Practice" sheetId="2" r:id="rId2"/>
    <sheet name="Examples" sheetId="3" r:id="rId3"/>
    <sheet name="Tables" sheetId="4" r:id="rId4"/>
    <sheet name="Shell" sheetId="5" r:id="rId5"/>
  </sheets>
  <definedNames/>
  <calcPr fullCalcOnLoad="1"/>
</workbook>
</file>

<file path=xl/comments1.xml><?xml version="1.0" encoding="utf-8"?>
<comments xmlns="http://schemas.openxmlformats.org/spreadsheetml/2006/main">
  <authors>
    <author>jensen</author>
    <author>rjensen</author>
    <author>Robert E. Jenson</author>
  </authors>
  <commentList>
    <comment ref="I40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40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41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41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42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42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4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4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I4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J4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51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51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52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52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5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5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5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5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I5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J5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62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62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6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6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6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6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65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65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I6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J6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69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profitablity index can only be computed when there are positive and negative cash flows.</t>
        </r>
      </text>
    </comment>
    <comment ref="I7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7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7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7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75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75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7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7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79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F83" authorId="1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easy way to find this value is to use the Goal Seek utility in the Tools Menu.</t>
        </r>
      </text>
    </comment>
    <comment ref="I8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8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85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85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8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8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8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8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90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F94" authorId="1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easy way to find this value is to use the Goal Seek utility in the Tools Menu.</t>
        </r>
      </text>
    </comment>
    <comment ref="I95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95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9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9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9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9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9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9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01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10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106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10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10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10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10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109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09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12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11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117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11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11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119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119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120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20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23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12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128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129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129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130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130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131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31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34" authorId="0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E140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0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2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2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3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3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4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4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5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5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6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6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7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7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F148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58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58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59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59" authorId="2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</commentList>
</comments>
</file>

<file path=xl/comments2.xml><?xml version="1.0" encoding="utf-8"?>
<comments xmlns="http://schemas.openxmlformats.org/spreadsheetml/2006/main">
  <authors>
    <author>Robert E. Jenson</author>
    <author>rjensen</author>
    <author>jensen</author>
  </authors>
  <commentList>
    <comment ref="E14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3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6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6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7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7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8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8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49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9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50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50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F151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F86" authorId="1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easy way to find this value is to use the Goal Seek utility in the Tools Menu.</t>
        </r>
      </text>
    </comment>
    <comment ref="F97" authorId="1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The easy way to find this value is to use the Goal Seek utility in the Tools Menu.</t>
        </r>
      </text>
    </comment>
    <comment ref="E145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45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61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61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E162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interest expense</t>
        </r>
      </text>
    </comment>
    <comment ref="F162" authorId="0">
      <text>
        <r>
          <rPr>
            <b/>
            <sz val="8"/>
            <rFont val="Tahoma"/>
            <family val="0"/>
          </rPr>
          <t>Robert E. Jenson:</t>
        </r>
        <r>
          <rPr>
            <sz val="8"/>
            <rFont val="Tahoma"/>
            <family val="0"/>
          </rPr>
          <t xml:space="preserve">
Portion of the payment that is a reduction of principal.</t>
        </r>
      </text>
    </comment>
    <comment ref="I43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54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65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65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54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43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44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45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4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I44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45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4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I55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55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5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5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5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5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I6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6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6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6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68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68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I4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J4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6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J6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7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J7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72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profitablity index can only be computed when there are positive and negative cash flows.</t>
        </r>
      </text>
    </comment>
    <comment ref="I7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7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7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7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78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78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7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7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82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8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8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88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88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8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8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9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9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93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98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98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9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9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10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10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10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0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04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10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109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11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11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11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11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112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12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15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12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120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12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12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122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122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123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23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26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  <comment ref="I13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J131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IRR function will not compute unless there are both positive and negative cash flows.</t>
        </r>
      </text>
    </comment>
    <comment ref="I132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J132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RATE function only will derive the IRR for an annuity cash flow stream.</t>
        </r>
      </text>
    </comment>
    <comment ref="I133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J133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PMT function will only compute the annuity payments for an annuity cash flow stream</t>
        </r>
      </text>
    </comment>
    <comment ref="I134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34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The PV function will only compute present values of annuity cash flow streams.</t>
        </r>
      </text>
    </comment>
    <comment ref="J137" authorId="2">
      <text>
        <r>
          <rPr>
            <b/>
            <sz val="8"/>
            <rFont val="Tahoma"/>
            <family val="0"/>
          </rPr>
          <t>jensen:</t>
        </r>
        <r>
          <rPr>
            <sz val="8"/>
            <rFont val="Tahoma"/>
            <family val="0"/>
          </rPr>
          <t xml:space="preserve">
Payback can only be computed with there are positive and negative cash flows.</t>
        </r>
      </text>
    </comment>
  </commentList>
</comments>
</file>

<file path=xl/comments3.xml><?xml version="1.0" encoding="utf-8"?>
<comments xmlns="http://schemas.openxmlformats.org/spreadsheetml/2006/main">
  <authors>
    <author>rjensen</author>
  </authors>
  <commentList>
    <comment ref="C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Change this for sensitivity Analysis.</t>
        </r>
      </text>
    </comment>
    <comment ref="C2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Change this for sensitivity Analysis.</t>
        </r>
      </text>
    </comment>
    <comment ref="I23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The cash flows in the NPV calculation cannot include both beginning time 0 and ending Time 1. amount for Period 1</t>
        </r>
      </text>
    </comment>
    <comment ref="C3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Change this for sensitivity Analysis.</t>
        </r>
      </text>
    </comment>
    <comment ref="I39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The cash flows in the NPV calculation cannot include both beginning time 0 and ending Time 1. amount for Period 1</t>
        </r>
      </text>
    </comment>
    <comment ref="M6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See Page 352.
PI=(PV of future cash flows)/(Net Investment)
</t>
        </r>
      </text>
    </comment>
    <comment ref="I8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The cash flows in the NPV calculation cannot include both beginning time 0 and ending Time 1. amount for Period 1</t>
        </r>
      </text>
    </comment>
    <comment ref="M21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See Page 352.
PI=(PV of future cash flows)/(Net Investment)
</t>
        </r>
      </text>
    </comment>
    <comment ref="M37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See Page 352.
PI=(PV of future cash flows)/(Net Investment)
</t>
        </r>
      </text>
    </comment>
    <comment ref="M53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See Page 352.
PI=(PV of future cash flows)/(Net Investment)
</t>
        </r>
      </text>
    </comment>
    <comment ref="C54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Change this for sensitivity Analysis.</t>
        </r>
      </text>
    </comment>
    <comment ref="I55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The cash flows in the NPV calculation cannot include both beginning time 0 and ending Time 1. amount for Period 1</t>
        </r>
      </text>
    </comment>
    <comment ref="M70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See Page 352.
PI=(PV of future cash flows)/(Net Investment)
</t>
        </r>
      </text>
    </comment>
    <comment ref="C71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Change this for sensitivity Analysis.</t>
        </r>
      </text>
    </comment>
    <comment ref="I72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The cash flows in the NPV calculation cannot include both beginning time 0 and ending Time 1. amount for Period 1</t>
        </r>
      </text>
    </comment>
    <comment ref="M89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See Page 352.
PI=(PV of future cash flows)/(Net Investment)
</t>
        </r>
      </text>
    </comment>
    <comment ref="C90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Change this for sensitivity Analysis.</t>
        </r>
      </text>
    </comment>
    <comment ref="I91" authorId="0">
      <text>
        <r>
          <rPr>
            <b/>
            <sz val="8"/>
            <rFont val="Tahoma"/>
            <family val="0"/>
          </rPr>
          <t>Bob Jensen:</t>
        </r>
        <r>
          <rPr>
            <sz val="8"/>
            <rFont val="Tahoma"/>
            <family val="0"/>
          </rPr>
          <t xml:space="preserve">
The cash flows in the NPV calculation cannot include both beginning time 0 and ending Time 1. amount for Period 1</t>
        </r>
      </text>
    </comment>
    <comment ref="C133" authorId="0">
      <text>
        <r>
          <rPr>
            <b/>
            <sz val="8"/>
            <rFont val="Tahoma"/>
            <family val="0"/>
          </rPr>
          <t>rjensen:</t>
        </r>
        <r>
          <rPr>
            <sz val="8"/>
            <rFont val="Tahoma"/>
            <family val="0"/>
          </rPr>
          <t xml:space="preserve">
This amount is fixed in this spreadsheet and cannot be varied.</t>
        </r>
      </text>
    </comment>
  </commentList>
</comments>
</file>

<file path=xl/sharedStrings.xml><?xml version="1.0" encoding="utf-8"?>
<sst xmlns="http://schemas.openxmlformats.org/spreadsheetml/2006/main" count="1669" uniqueCount="211">
  <si>
    <t>Dr Jensen</t>
  </si>
  <si>
    <t>Trinity University</t>
  </si>
  <si>
    <t>Chapter 8 Lectures in ACCT 1302</t>
  </si>
  <si>
    <t>Example on Page 349</t>
  </si>
  <si>
    <t>Year</t>
  </si>
  <si>
    <t>Cash</t>
  </si>
  <si>
    <t>Flow</t>
  </si>
  <si>
    <t xml:space="preserve"> </t>
  </si>
  <si>
    <t>Cumulative</t>
  </si>
  <si>
    <t>Assuming</t>
  </si>
  <si>
    <t>Monthly</t>
  </si>
  <si>
    <t>Annual</t>
  </si>
  <si>
    <t>Payback</t>
  </si>
  <si>
    <t>Rate of</t>
  </si>
  <si>
    <t>Return</t>
  </si>
  <si>
    <t>Net</t>
  </si>
  <si>
    <t>Present</t>
  </si>
  <si>
    <t>Value</t>
  </si>
  <si>
    <t>Internal</t>
  </si>
  <si>
    <t>Example on Page 350</t>
  </si>
  <si>
    <t>Two Rates</t>
  </si>
  <si>
    <t>Annuity =</t>
  </si>
  <si>
    <t>Cost =</t>
  </si>
  <si>
    <t>NPV =</t>
  </si>
  <si>
    <t>PV of Cash Flows</t>
  </si>
  <si>
    <t>Example on Page 354</t>
  </si>
  <si>
    <t>Profitability</t>
  </si>
  <si>
    <t>Index</t>
  </si>
  <si>
    <t>=PV of future cash flows</t>
  </si>
  <si>
    <t>=PV of net investment</t>
  </si>
  <si>
    <t>=Profitability index</t>
  </si>
  <si>
    <t>Example on Page 352</t>
  </si>
  <si>
    <t>Independent</t>
  </si>
  <si>
    <t>of Target</t>
  </si>
  <si>
    <t>Rate</t>
  </si>
  <si>
    <t>Example on Page 358</t>
  </si>
  <si>
    <t>Residual =</t>
  </si>
  <si>
    <t>Example on Page 359</t>
  </si>
  <si>
    <t>How to generate Table 1 in Appendix C of your textbook on pp. 746-747</t>
  </si>
  <si>
    <t>Period</t>
  </si>
  <si>
    <r>
      <t>Period/</t>
    </r>
    <r>
      <rPr>
        <b/>
        <sz val="10"/>
        <color indexed="10"/>
        <rFont val="Arial"/>
        <family val="2"/>
      </rPr>
      <t>Rate</t>
    </r>
  </si>
  <si>
    <t>Present value of $1.00 received at the end of Period t</t>
  </si>
  <si>
    <t>Present value of $1.00 ordinary annuity received at the end of each of Periods 1 through t</t>
  </si>
  <si>
    <t>How to generate Table 3 in Appendix C of your textbook on p. 750</t>
  </si>
  <si>
    <t>How to generate Table 2 in Appendix C of your textbook on pp. 748-749</t>
  </si>
  <si>
    <t>Future value of $1.00 received at the end of Period t</t>
  </si>
  <si>
    <t>How to generate Table 4 in Appendix C of your textbook on p. 750</t>
  </si>
  <si>
    <t>Future value of $1.00 ordinary annuity received at the end of each of Periods 1 through t</t>
  </si>
  <si>
    <t>Appendix C Tables in ACCT 1302 Textbook</t>
  </si>
  <si>
    <t>Bob Jensen's Example of a Car Loan</t>
  </si>
  <si>
    <t>Cash price of the car</t>
  </si>
  <si>
    <t>Sticker price of the car</t>
  </si>
  <si>
    <t>Sticker price net of down payment up front</t>
  </si>
  <si>
    <t>Quoted APR on the car loan</t>
  </si>
  <si>
    <t>Number of monthly payments at the end of each month</t>
  </si>
  <si>
    <t>01.</t>
  </si>
  <si>
    <t xml:space="preserve">PPMT = </t>
  </si>
  <si>
    <t xml:space="preserve">IPMT = </t>
  </si>
  <si>
    <t xml:space="preserve">Month = </t>
  </si>
  <si>
    <t xml:space="preserve">PMT = </t>
  </si>
  <si>
    <t>at the beginning of each month of a self-amortizing loan based on the sticker price?</t>
  </si>
  <si>
    <t>What are the payments on the car loan assuming that the quoted APR applies to the balance</t>
  </si>
  <si>
    <t>Use the cash price for the true present value.</t>
  </si>
  <si>
    <t xml:space="preserve">IRR = </t>
  </si>
  <si>
    <t>02.</t>
  </si>
  <si>
    <t xml:space="preserve">at the beginning of each month of a self-amortizing loan based on the sticker price?  In this case, </t>
  </si>
  <si>
    <t>03.</t>
  </si>
  <si>
    <t>04.</t>
  </si>
  <si>
    <t>What is the IRR car loan assuming that the quoted APR applies to the balance</t>
  </si>
  <si>
    <t>originally borrowed?</t>
  </si>
  <si>
    <t>What is the IRR on the car loan assuming that the quoted APR applies to the balance</t>
  </si>
  <si>
    <t xml:space="preserve"> based upon the cash price =</t>
  </si>
  <si>
    <t xml:space="preserve"> based upon the sticker price =</t>
  </si>
  <si>
    <t>Car dealers tend to mislead consumers by not using the true cash prices of the car when</t>
  </si>
  <si>
    <t>deriving the APR amounts of a car loan.  They are more apt to use sticker prices.</t>
  </si>
  <si>
    <t>Conclusion:  I have no idea how Patrick Charles derived and 18.5% effective rate from a flat rate of 10% APR.</t>
  </si>
  <si>
    <t xml:space="preserve"> = Sum of interest payments</t>
  </si>
  <si>
    <t xml:space="preserve"> = Sum of principal reductions</t>
  </si>
  <si>
    <t xml:space="preserve">include an added interest amount based upon the APR times the sticker price minus the down </t>
  </si>
  <si>
    <t>payment.  Amortize the principal reductions on a straight-line basis.</t>
  </si>
  <si>
    <t>My derivation is 17.60% assuming a straight-line amortization of the principal.</t>
  </si>
  <si>
    <t xml:space="preserve">RATE = </t>
  </si>
  <si>
    <t xml:space="preserve"> can be used for annuities.</t>
  </si>
  <si>
    <t>minus the down payment</t>
  </si>
  <si>
    <t>Imaginative ways to avoid IRR and NPV functions (and thereby avoid having to type in each cash flow for each period)</t>
  </si>
  <si>
    <t>Payment for the final 24 months</t>
  </si>
  <si>
    <t>Payment for the first 36 months</t>
  </si>
  <si>
    <t>?</t>
  </si>
  <si>
    <t xml:space="preserve">PV(0,36) = </t>
  </si>
  <si>
    <t xml:space="preserve">PV(36, 24) = </t>
  </si>
  <si>
    <t xml:space="preserve">PV(0, 24) = </t>
  </si>
  <si>
    <t xml:space="preserve">PV = </t>
  </si>
  <si>
    <t>at t=0 for first 24 monthly payments =</t>
  </si>
  <si>
    <t>at t=0 for last 24 monthly payments =</t>
  </si>
  <si>
    <t>at t=0 for all 60 monthly payments</t>
  </si>
  <si>
    <t>Then use (Tools, Goal Seek to find the IRR that sets PV equal to the initial cash price =</t>
  </si>
  <si>
    <t xml:space="preserve">     Must type in the number itself</t>
  </si>
  <si>
    <t>Required:  Find the IRR using the IRR function.</t>
  </si>
  <si>
    <t>Please do not print all of this spreadsheet.  First select the area to print and choose (File, Print, Selection)</t>
  </si>
  <si>
    <t>Dr. Jensen's introductory lecture to Chapter 8 in ACCT 1302</t>
  </si>
  <si>
    <t>Required:  Find the NPV using the PV function.</t>
  </si>
  <si>
    <t>Required:  Find the NPV using the NPV function.</t>
  </si>
  <si>
    <t xml:space="preserve">NPV = </t>
  </si>
  <si>
    <t>using the RATE function creatively</t>
  </si>
  <si>
    <t>using the NPV function creatively</t>
  </si>
  <si>
    <t>How can we make NPV = $0?</t>
  </si>
  <si>
    <t>APR</t>
  </si>
  <si>
    <t>Warm Up Exercises</t>
  </si>
  <si>
    <t>Future</t>
  </si>
  <si>
    <t>PV</t>
  </si>
  <si>
    <t>n/a</t>
  </si>
  <si>
    <t>05.</t>
  </si>
  <si>
    <t>06.</t>
  </si>
  <si>
    <t>07.</t>
  </si>
  <si>
    <t>08.</t>
  </si>
  <si>
    <t>Cash Flow</t>
  </si>
  <si>
    <t>Compoundings</t>
  </si>
  <si>
    <t>Quarterly</t>
  </si>
  <si>
    <t>Yearly</t>
  </si>
  <si>
    <t>09.</t>
  </si>
  <si>
    <t xml:space="preserve"> = NPV</t>
  </si>
  <si>
    <t xml:space="preserve"> = Payback periods</t>
  </si>
  <si>
    <t xml:space="preserve"> = Profitability Index</t>
  </si>
  <si>
    <t>10.</t>
  </si>
  <si>
    <t>11.</t>
  </si>
  <si>
    <t>Interest</t>
  </si>
  <si>
    <t>IPMT</t>
  </si>
  <si>
    <t>Principal</t>
  </si>
  <si>
    <t>PPMT</t>
  </si>
  <si>
    <t>Payment</t>
  </si>
  <si>
    <t>Sensitivity</t>
  </si>
  <si>
    <t>Analysis</t>
  </si>
  <si>
    <t>PMT</t>
  </si>
  <si>
    <t xml:space="preserve">Company XYX purchases a computer system for $2,500,000 by paying $500,000 down and a loan </t>
  </si>
  <si>
    <t>for the remainder due in monthly payments that include both interest and principal reduction.</t>
  </si>
  <si>
    <t>Other facts are shown below:</t>
  </si>
  <si>
    <t>= Cash down payment</t>
  </si>
  <si>
    <t>= PV</t>
  </si>
  <si>
    <t>= Loan rate (RATE)</t>
  </si>
  <si>
    <t>= Number of monthly payments</t>
  </si>
  <si>
    <t>= Amount of each payment (PMT)</t>
  </si>
  <si>
    <t>What is the loan's effective interest rate?</t>
  </si>
  <si>
    <t>= Rate per month</t>
  </si>
  <si>
    <t>= APR</t>
  </si>
  <si>
    <t>What is the journal entry to record payment number 13 on the note payable?</t>
  </si>
  <si>
    <t>Month</t>
  </si>
  <si>
    <t>Debit</t>
  </si>
  <si>
    <t>Credit</t>
  </si>
  <si>
    <t>Interest expense</t>
  </si>
  <si>
    <t>Note payable</t>
  </si>
  <si>
    <t xml:space="preserve">What is the depreciation expense for Month 13 under the three popular </t>
  </si>
  <si>
    <t>depreciation methods?</t>
  </si>
  <si>
    <t>= Salvage value</t>
  </si>
  <si>
    <t>= Expected economic life in months</t>
  </si>
  <si>
    <t>Practice Problem With Depreciation</t>
  </si>
  <si>
    <t>Deprciation expense - computer</t>
  </si>
  <si>
    <t>-To record Payment 103 on the computer loan.</t>
  </si>
  <si>
    <t>= Cost of the computer</t>
  </si>
  <si>
    <t>Accumulated depreciation - computer</t>
  </si>
  <si>
    <r>
      <t xml:space="preserve">-To record </t>
    </r>
    <r>
      <rPr>
        <b/>
        <sz val="10"/>
        <rFont val="Arial"/>
        <family val="2"/>
      </rPr>
      <t>DDB depreciation</t>
    </r>
    <r>
      <rPr>
        <sz val="10"/>
        <rFont val="Arial"/>
        <family val="0"/>
      </rPr>
      <t xml:space="preserve"> on the computer.</t>
    </r>
  </si>
  <si>
    <r>
      <t xml:space="preserve">-To record </t>
    </r>
    <r>
      <rPr>
        <b/>
        <sz val="10"/>
        <rFont val="Arial"/>
        <family val="2"/>
      </rPr>
      <t>SYD depreciation</t>
    </r>
    <r>
      <rPr>
        <sz val="10"/>
        <rFont val="Arial"/>
        <family val="0"/>
      </rPr>
      <t xml:space="preserve"> on the computer.</t>
    </r>
  </si>
  <si>
    <r>
      <t xml:space="preserve">-To record </t>
    </r>
    <r>
      <rPr>
        <b/>
        <sz val="10"/>
        <rFont val="Arial"/>
        <family val="2"/>
      </rPr>
      <t>straight-line depreciation</t>
    </r>
    <r>
      <rPr>
        <sz val="10"/>
        <rFont val="Arial"/>
        <family val="0"/>
      </rPr>
      <t xml:space="preserve"> on the computer.</t>
    </r>
  </si>
  <si>
    <t>Hint:  See what happens to NPV if you change the Seed IRR =</t>
  </si>
  <si>
    <t>Required:  Find the IRR using Goal Seek under the Excel menu choices (Tools, Goal Seek)</t>
  </si>
  <si>
    <t xml:space="preserve"> = result of Goal Seek calculation</t>
  </si>
  <si>
    <t>FV</t>
  </si>
  <si>
    <t>Function</t>
  </si>
  <si>
    <t>NPV</t>
  </si>
  <si>
    <t>Payments</t>
  </si>
  <si>
    <t>=APR</t>
  </si>
  <si>
    <t>Downpayment</t>
  </si>
  <si>
    <t>Term in Years</t>
  </si>
  <si>
    <t>Year 1</t>
  </si>
  <si>
    <t>Year 2</t>
  </si>
  <si>
    <t>Year 3</t>
  </si>
  <si>
    <t>Year 4</t>
  </si>
  <si>
    <t>Year 5</t>
  </si>
  <si>
    <t>Year 6</t>
  </si>
  <si>
    <t>Year 0.25</t>
  </si>
  <si>
    <t>Year 0.50</t>
  </si>
  <si>
    <t>Year 0.75</t>
  </si>
  <si>
    <t>Year 1.00</t>
  </si>
  <si>
    <t>Year 1.25</t>
  </si>
  <si>
    <t>Year 1.50</t>
  </si>
  <si>
    <t>Year 1/12</t>
  </si>
  <si>
    <t>Year 2.12</t>
  </si>
  <si>
    <t>Year 3/12</t>
  </si>
  <si>
    <t>Year 4/12</t>
  </si>
  <si>
    <t>Year 5/12</t>
  </si>
  <si>
    <t>Year 6/12</t>
  </si>
  <si>
    <t>The reason is that it will print too many pages of a loan amortization that you will not want in print.</t>
  </si>
  <si>
    <t xml:space="preserve"> = IRR</t>
  </si>
  <si>
    <t xml:space="preserve"> = RATE</t>
  </si>
  <si>
    <t xml:space="preserve"> = PMT</t>
  </si>
  <si>
    <t xml:space="preserve"> = PV</t>
  </si>
  <si>
    <t>= NPV</t>
  </si>
  <si>
    <t>= FV</t>
  </si>
  <si>
    <t xml:space="preserve"> = Payback Years</t>
  </si>
  <si>
    <t>Using the Goal Seek Utility in the Tools Menu</t>
  </si>
  <si>
    <t xml:space="preserve"> = IRR per year</t>
  </si>
  <si>
    <t xml:space="preserve"> = IRR per month</t>
  </si>
  <si>
    <t>Target</t>
  </si>
  <si>
    <t>RATE</t>
  </si>
  <si>
    <t>IRR</t>
  </si>
  <si>
    <t>Yes</t>
  </si>
  <si>
    <r>
      <t>For a</t>
    </r>
    <r>
      <rPr>
        <b/>
        <sz val="10"/>
        <color indexed="10"/>
        <rFont val="Arial"/>
        <family val="2"/>
      </rPr>
      <t xml:space="preserve"> single payment</t>
    </r>
    <r>
      <rPr>
        <sz val="10"/>
        <rFont val="Arial"/>
        <family val="0"/>
      </rPr>
      <t xml:space="preserve"> cash flow, it is possible to use the following functions:</t>
    </r>
  </si>
  <si>
    <r>
      <t xml:space="preserve">For a cash flow stream of </t>
    </r>
    <r>
      <rPr>
        <b/>
        <sz val="10"/>
        <color indexed="10"/>
        <rFont val="Arial"/>
        <family val="2"/>
      </rPr>
      <t>unequal payments</t>
    </r>
    <r>
      <rPr>
        <sz val="10"/>
        <rFont val="Arial"/>
        <family val="0"/>
      </rPr>
      <t>, it is possible to use the following</t>
    </r>
  </si>
  <si>
    <r>
      <t xml:space="preserve">For an </t>
    </r>
    <r>
      <rPr>
        <b/>
        <sz val="10"/>
        <color indexed="10"/>
        <rFont val="Arial"/>
        <family val="2"/>
      </rPr>
      <t xml:space="preserve">annuity stream </t>
    </r>
    <r>
      <rPr>
        <sz val="10"/>
        <rFont val="Arial"/>
        <family val="0"/>
      </rPr>
      <t>(with varying beginning and ending payments), it is possible to use the following:</t>
    </r>
  </si>
  <si>
    <t xml:space="preserve">APR = </t>
  </si>
  <si>
    <t>Loan Principal</t>
  </si>
  <si>
    <t>Reduction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</si>
</sst>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_);[Red]\(0.00\)"/>
    <numFmt numFmtId="168" formatCode="&quot;$&quot;#,##0.0_);[Red]\(&quot;$&quot;#,##0.0\)"/>
    <numFmt numFmtId="169" formatCode="0.0%"/>
    <numFmt numFmtId="170" formatCode="0.0000_);[Red]\(0.0000\)"/>
    <numFmt numFmtId="171" formatCode="0.000_);[Red]\(0.000\)"/>
    <numFmt numFmtId="172" formatCode="0.0_);[Red]\(0.0\)"/>
    <numFmt numFmtId="173" formatCode="0_);[Red]\(0\)"/>
    <numFmt numFmtId="174" formatCode="0.00000_);[Red]\(0.00000\)"/>
    <numFmt numFmtId="175" formatCode="0.000000_);[Red]\(0.000000\)"/>
    <numFmt numFmtId="176" formatCode="0.0000000_);[Red]\(0.0000000\)"/>
    <numFmt numFmtId="177" formatCode="0.00000000_);[Red]\(0.00000000\)"/>
    <numFmt numFmtId="178" formatCode="0.000000000_);[Red]\(0.000000000\)"/>
    <numFmt numFmtId="179" formatCode="&quot;$&quot;#,##0"/>
    <numFmt numFmtId="180" formatCode="0.0000%"/>
    <numFmt numFmtId="181" formatCode="0.000%"/>
    <numFmt numFmtId="182" formatCode="&quot;$&quot;#,##0.0000"/>
    <numFmt numFmtId="183" formatCode="&quot;$&quot;#,##0.000_);[Red]\(&quot;$&quot;#,##0.000\)"/>
    <numFmt numFmtId="184" formatCode="&quot;$&quot;#,##0.0"/>
    <numFmt numFmtId="185" formatCode="&quot;$&quot;#,##0.00"/>
    <numFmt numFmtId="186" formatCode="&quot;$&quot;#,##0.000"/>
    <numFmt numFmtId="187" formatCode="#,##0.0_);[Red]\(#,##0.0\)"/>
    <numFmt numFmtId="188" formatCode="0.0000000"/>
    <numFmt numFmtId="189" formatCode="0.00000000"/>
    <numFmt numFmtId="190" formatCode="0.000000"/>
    <numFmt numFmtId="191" formatCode="0.0000000000"/>
    <numFmt numFmtId="192" formatCode="0.000000000"/>
    <numFmt numFmtId="193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.75"/>
      <name val="Arial"/>
      <family val="0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6" fontId="0" fillId="0" borderId="2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6" fontId="0" fillId="0" borderId="1" xfId="0" applyNumberFormat="1" applyBorder="1" applyAlignment="1" applyProtection="1">
      <alignment horizontal="center"/>
      <protection locked="0"/>
    </xf>
    <xf numFmtId="6" fontId="0" fillId="0" borderId="3" xfId="0" applyNumberFormat="1" applyBorder="1" applyAlignment="1" applyProtection="1">
      <alignment horizontal="center"/>
      <protection locked="0"/>
    </xf>
    <xf numFmtId="6" fontId="0" fillId="0" borderId="5" xfId="0" applyNumberFormat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6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6" fontId="0" fillId="0" borderId="13" xfId="0" applyNumberFormat="1" applyBorder="1" applyAlignment="1">
      <alignment horizontal="right"/>
    </xf>
    <xf numFmtId="6" fontId="1" fillId="0" borderId="12" xfId="0" applyNumberFormat="1" applyFont="1" applyBorder="1" applyAlignment="1">
      <alignment horizontal="right"/>
    </xf>
    <xf numFmtId="0" fontId="0" fillId="0" borderId="0" xfId="0" applyAlignment="1" quotePrefix="1">
      <alignment/>
    </xf>
    <xf numFmtId="0" fontId="0" fillId="0" borderId="9" xfId="0" applyBorder="1" applyAlignment="1">
      <alignment/>
    </xf>
    <xf numFmtId="40" fontId="0" fillId="0" borderId="12" xfId="0" applyNumberFormat="1" applyBorder="1" applyAlignment="1">
      <alignment horizontal="center"/>
    </xf>
    <xf numFmtId="40" fontId="1" fillId="0" borderId="12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6" fontId="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10" fontId="4" fillId="0" borderId="0" xfId="0" applyNumberFormat="1" applyFont="1" applyAlignment="1">
      <alignment horizontal="center"/>
    </xf>
    <xf numFmtId="8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3" borderId="0" xfId="0" applyFill="1" applyAlignment="1">
      <alignment/>
    </xf>
    <xf numFmtId="10" fontId="5" fillId="0" borderId="14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73" fontId="5" fillId="0" borderId="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0" fontId="6" fillId="0" borderId="18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8" xfId="0" applyFont="1" applyBorder="1" applyAlignment="1">
      <alignment/>
    </xf>
    <xf numFmtId="10" fontId="4" fillId="0" borderId="19" xfId="0" applyNumberFormat="1" applyFont="1" applyBorder="1" applyAlignment="1">
      <alignment horizontal="center"/>
    </xf>
    <xf numFmtId="10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79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center"/>
    </xf>
    <xf numFmtId="179" fontId="1" fillId="0" borderId="0" xfId="0" applyNumberFormat="1" applyFont="1" applyAlignment="1">
      <alignment horizontal="left"/>
    </xf>
    <xf numFmtId="179" fontId="0" fillId="0" borderId="0" xfId="0" applyNumberFormat="1" applyAlignment="1">
      <alignment horizontal="right"/>
    </xf>
    <xf numFmtId="179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5" fillId="0" borderId="0" xfId="0" applyFont="1" applyAlignment="1">
      <alignment/>
    </xf>
    <xf numFmtId="10" fontId="1" fillId="0" borderId="12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3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6" fontId="0" fillId="0" borderId="0" xfId="0" applyNumberFormat="1" applyAlignment="1">
      <alignment horizontal="center"/>
    </xf>
    <xf numFmtId="179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6" fontId="0" fillId="0" borderId="12" xfId="0" applyNumberForma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0" fontId="5" fillId="0" borderId="12" xfId="0" applyNumberFormat="1" applyFont="1" applyBorder="1" applyAlignment="1">
      <alignment/>
    </xf>
    <xf numFmtId="1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right"/>
    </xf>
    <xf numFmtId="6" fontId="9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80" fontId="5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4" fillId="0" borderId="0" xfId="0" applyNumberFormat="1" applyFont="1" applyAlignment="1" quotePrefix="1">
      <alignment horizontal="left"/>
    </xf>
    <xf numFmtId="179" fontId="10" fillId="0" borderId="0" xfId="0" applyNumberFormat="1" applyFont="1" applyAlignment="1">
      <alignment horizontal="right"/>
    </xf>
    <xf numFmtId="179" fontId="10" fillId="0" borderId="13" xfId="0" applyNumberFormat="1" applyFont="1" applyBorder="1" applyAlignment="1">
      <alignment horizontal="right"/>
    </xf>
    <xf numFmtId="179" fontId="10" fillId="0" borderId="0" xfId="0" applyNumberFormat="1" applyFont="1" applyAlignment="1" quotePrefix="1">
      <alignment horizontal="left"/>
    </xf>
    <xf numFmtId="179" fontId="5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0" applyNumberFormat="1" applyAlignment="1">
      <alignment horizontal="center"/>
    </xf>
    <xf numFmtId="38" fontId="0" fillId="0" borderId="0" xfId="0" applyNumberFormat="1" applyAlignment="1">
      <alignment horizontal="right"/>
    </xf>
    <xf numFmtId="6" fontId="1" fillId="0" borderId="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0" xfId="0" applyNumberFormat="1" applyAlignment="1">
      <alignment/>
    </xf>
    <xf numFmtId="10" fontId="9" fillId="0" borderId="9" xfId="0" applyNumberFormat="1" applyFont="1" applyBorder="1" applyAlignment="1">
      <alignment horizontal="center"/>
    </xf>
    <xf numFmtId="6" fontId="1" fillId="0" borderId="3" xfId="0" applyNumberFormat="1" applyFont="1" applyBorder="1" applyAlignment="1" applyProtection="1">
      <alignment horizontal="center"/>
      <protection locked="0"/>
    </xf>
    <xf numFmtId="6" fontId="1" fillId="0" borderId="4" xfId="0" applyNumberFormat="1" applyFon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6" fontId="1" fillId="0" borderId="10" xfId="0" applyNumberFormat="1" applyFont="1" applyBorder="1" applyAlignment="1" applyProtection="1">
      <alignment horizontal="center"/>
      <protection locked="0"/>
    </xf>
    <xf numFmtId="6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6" fontId="1" fillId="0" borderId="0" xfId="0" applyNumberFormat="1" applyFont="1" applyAlignment="1">
      <alignment horizontal="right"/>
    </xf>
    <xf numFmtId="6" fontId="10" fillId="0" borderId="10" xfId="0" applyNumberFormat="1" applyFont="1" applyBorder="1" applyAlignment="1" applyProtection="1">
      <alignment horizontal="center"/>
      <protection locked="0"/>
    </xf>
    <xf numFmtId="6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6" fontId="5" fillId="0" borderId="9" xfId="0" applyNumberFormat="1" applyFont="1" applyBorder="1" applyAlignment="1" applyProtection="1">
      <alignment horizontal="center"/>
      <protection locked="0"/>
    </xf>
    <xf numFmtId="6" fontId="5" fillId="0" borderId="10" xfId="0" applyNumberFormat="1" applyFont="1" applyBorder="1" applyAlignment="1" applyProtection="1">
      <alignment horizontal="center"/>
      <protection locked="0"/>
    </xf>
    <xf numFmtId="6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0" fontId="1" fillId="0" borderId="26" xfId="0" applyNumberFormat="1" applyFont="1" applyBorder="1" applyAlignment="1">
      <alignment/>
    </xf>
    <xf numFmtId="0" fontId="1" fillId="0" borderId="27" xfId="0" applyFont="1" applyBorder="1" applyAlignment="1" quotePrefix="1">
      <alignment/>
    </xf>
    <xf numFmtId="0" fontId="1" fillId="0" borderId="28" xfId="0" applyFont="1" applyBorder="1" applyAlignment="1">
      <alignment/>
    </xf>
    <xf numFmtId="10" fontId="1" fillId="0" borderId="29" xfId="0" applyNumberFormat="1" applyFont="1" applyBorder="1" applyAlignment="1">
      <alignment/>
    </xf>
    <xf numFmtId="0" fontId="1" fillId="0" borderId="30" xfId="0" applyFont="1" applyBorder="1" applyAlignment="1" quotePrefix="1">
      <alignment/>
    </xf>
    <xf numFmtId="0" fontId="1" fillId="0" borderId="31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8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8" fontId="0" fillId="0" borderId="5" xfId="0" applyNumberFormat="1" applyBorder="1" applyAlignment="1">
      <alignment horizontal="right"/>
    </xf>
    <xf numFmtId="38" fontId="0" fillId="0" borderId="6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8" fontId="0" fillId="0" borderId="34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8" fontId="0" fillId="0" borderId="35" xfId="0" applyNumberFormat="1" applyBorder="1" applyAlignment="1">
      <alignment horizontal="right"/>
    </xf>
    <xf numFmtId="38" fontId="0" fillId="0" borderId="4" xfId="0" applyNumberFormat="1" applyBorder="1" applyAlignment="1">
      <alignment horizontal="right"/>
    </xf>
    <xf numFmtId="0" fontId="0" fillId="0" borderId="21" xfId="0" applyBorder="1" applyAlignment="1" quotePrefix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4" borderId="0" xfId="0" applyFill="1" applyAlignment="1">
      <alignment/>
    </xf>
    <xf numFmtId="10" fontId="5" fillId="0" borderId="9" xfId="0" applyNumberFormat="1" applyFont="1" applyBorder="1" applyAlignment="1">
      <alignment horizontal="center"/>
    </xf>
    <xf numFmtId="8" fontId="9" fillId="0" borderId="9" xfId="0" applyNumberFormat="1" applyFont="1" applyBorder="1" applyAlignment="1" applyProtection="1">
      <alignment horizontal="center"/>
      <protection locked="0"/>
    </xf>
    <xf numFmtId="10" fontId="5" fillId="5" borderId="9" xfId="0" applyNumberFormat="1" applyFont="1" applyFill="1" applyBorder="1" applyAlignment="1">
      <alignment horizontal="center"/>
    </xf>
    <xf numFmtId="8" fontId="1" fillId="0" borderId="9" xfId="0" applyNumberFormat="1" applyFont="1" applyBorder="1" applyAlignment="1" applyProtection="1">
      <alignment horizontal="center"/>
      <protection locked="0"/>
    </xf>
    <xf numFmtId="10" fontId="10" fillId="5" borderId="9" xfId="0" applyNumberFormat="1" applyFont="1" applyFill="1" applyBorder="1" applyAlignment="1" applyProtection="1">
      <alignment horizontal="center"/>
      <protection locked="0"/>
    </xf>
    <xf numFmtId="10" fontId="5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quotePrefix="1">
      <alignment/>
    </xf>
    <xf numFmtId="0" fontId="0" fillId="0" borderId="0" xfId="0" applyFill="1" applyBorder="1" applyAlignment="1">
      <alignment horizontal="right"/>
    </xf>
    <xf numFmtId="10" fontId="4" fillId="0" borderId="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6" fontId="4" fillId="0" borderId="4" xfId="0" applyNumberFormat="1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6" fontId="4" fillId="0" borderId="37" xfId="0" applyNumberFormat="1" applyFont="1" applyBorder="1" applyAlignment="1">
      <alignment horizontal="center"/>
    </xf>
    <xf numFmtId="6" fontId="10" fillId="0" borderId="32" xfId="0" applyNumberFormat="1" applyFont="1" applyBorder="1" applyAlignment="1" applyProtection="1">
      <alignment horizontal="center"/>
      <protection locked="0"/>
    </xf>
    <xf numFmtId="6" fontId="5" fillId="0" borderId="32" xfId="0" applyNumberFormat="1" applyFont="1" applyBorder="1" applyAlignment="1" applyProtection="1">
      <alignment horizontal="center"/>
      <protection locked="0"/>
    </xf>
    <xf numFmtId="10" fontId="1" fillId="0" borderId="33" xfId="0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2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6" fontId="0" fillId="0" borderId="9" xfId="0" applyNumberFormat="1" applyBorder="1" applyAlignment="1">
      <alignment/>
    </xf>
    <xf numFmtId="6" fontId="0" fillId="0" borderId="10" xfId="0" applyNumberFormat="1" applyBorder="1" applyAlignment="1">
      <alignment/>
    </xf>
    <xf numFmtId="8" fontId="5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6" fontId="11" fillId="0" borderId="6" xfId="0" applyNumberFormat="1" applyFont="1" applyBorder="1" applyAlignment="1">
      <alignment horizontal="center"/>
    </xf>
    <xf numFmtId="6" fontId="11" fillId="0" borderId="0" xfId="0" applyNumberFormat="1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 quotePrefix="1">
      <alignment horizontal="center"/>
    </xf>
    <xf numFmtId="8" fontId="11" fillId="0" borderId="6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6" fontId="1" fillId="0" borderId="9" xfId="0" applyNumberFormat="1" applyFont="1" applyBorder="1" applyAlignment="1" applyProtection="1">
      <alignment horizontal="center"/>
      <protection locked="0"/>
    </xf>
    <xf numFmtId="8" fontId="11" fillId="0" borderId="0" xfId="0" applyNumberFormat="1" applyFont="1" applyAlignment="1">
      <alignment horizontal="center"/>
    </xf>
    <xf numFmtId="0" fontId="0" fillId="5" borderId="0" xfId="0" applyFill="1" applyBorder="1" applyAlignment="1">
      <alignment horizontal="right"/>
    </xf>
    <xf numFmtId="0" fontId="1" fillId="5" borderId="0" xfId="0" applyFont="1" applyFill="1" applyAlignment="1">
      <alignment horizontal="center"/>
    </xf>
    <xf numFmtId="6" fontId="4" fillId="5" borderId="37" xfId="0" applyNumberFormat="1" applyFont="1" applyFill="1" applyBorder="1" applyAlignment="1">
      <alignment horizontal="center"/>
    </xf>
    <xf numFmtId="6" fontId="10" fillId="5" borderId="32" xfId="0" applyNumberFormat="1" applyFont="1" applyFill="1" applyBorder="1" applyAlignment="1" applyProtection="1">
      <alignment horizontal="center"/>
      <protection locked="0"/>
    </xf>
    <xf numFmtId="6" fontId="5" fillId="5" borderId="3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6" fontId="0" fillId="0" borderId="10" xfId="0" applyNumberFormat="1" applyBorder="1" applyAlignment="1">
      <alignment horizontal="center"/>
    </xf>
    <xf numFmtId="6" fontId="1" fillId="0" borderId="9" xfId="0" applyNumberFormat="1" applyFont="1" applyFill="1" applyBorder="1" applyAlignment="1">
      <alignment horizontal="center"/>
    </xf>
    <xf numFmtId="6" fontId="11" fillId="0" borderId="11" xfId="0" applyNumberFormat="1" applyFont="1" applyBorder="1" applyAlignment="1">
      <alignment/>
    </xf>
    <xf numFmtId="6" fontId="0" fillId="6" borderId="1" xfId="0" applyNumberFormat="1" applyFont="1" applyFill="1" applyBorder="1" applyAlignment="1" applyProtection="1">
      <alignment horizontal="center"/>
      <protection locked="0"/>
    </xf>
    <xf numFmtId="6" fontId="0" fillId="6" borderId="3" xfId="0" applyNumberFormat="1" applyFont="1" applyFill="1" applyBorder="1" applyAlignment="1" applyProtection="1">
      <alignment horizontal="center"/>
      <protection locked="0"/>
    </xf>
    <xf numFmtId="6" fontId="1" fillId="0" borderId="35" xfId="0" applyNumberFormat="1" applyFont="1" applyBorder="1" applyAlignment="1" applyProtection="1">
      <alignment horizontal="center"/>
      <protection locked="0"/>
    </xf>
    <xf numFmtId="10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'Warmup Practice'!$E$145</c:f>
              <c:strCache>
                <c:ptCount val="1"/>
                <c:pt idx="0">
                  <c:v>Interest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'Warmup Practice'!$E$146:$E$151</c:f>
              <c:numCache>
                <c:ptCount val="6"/>
                <c:pt idx="0">
                  <c:v>3755.3398426943513</c:v>
                </c:pt>
                <c:pt idx="1">
                  <c:v>3245.5393841548753</c:v>
                </c:pt>
                <c:pt idx="2">
                  <c:v>2694.119926185461</c:v>
                </c:pt>
                <c:pt idx="3">
                  <c:v>2097.6837842910586</c:v>
                </c:pt>
                <c:pt idx="4">
                  <c:v>1452.5558944123306</c:v>
                </c:pt>
                <c:pt idx="5">
                  <c:v>754.7611682619747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'Warmup Practice'!$F$145</c:f>
              <c:strCache>
                <c:ptCount val="1"/>
                <c:pt idx="0">
                  <c:v>Principal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'Warmup Practice'!$F$146:$F$151</c:f>
              <c:numCache>
                <c:ptCount val="6"/>
                <c:pt idx="0">
                  <c:v>6244.660157305656</c:v>
                </c:pt>
                <c:pt idx="1">
                  <c:v>6754.4606158451315</c:v>
                </c:pt>
                <c:pt idx="2">
                  <c:v>7305.880073814546</c:v>
                </c:pt>
                <c:pt idx="3">
                  <c:v>7902.316215708948</c:v>
                </c:pt>
                <c:pt idx="4">
                  <c:v>8547.444105587676</c:v>
                </c:pt>
                <c:pt idx="5">
                  <c:v>9245.238831738032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'Warmup Practice'!$G$145</c:f>
              <c:strCache>
                <c:ptCount val="1"/>
                <c:pt idx="0">
                  <c:v>Payment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'Warmup Practice'!$G$146:$G$151</c:f>
              <c:numCache>
                <c:ptCount val="6"/>
                <c:pt idx="0">
                  <c:v>10000.000000000007</c:v>
                </c:pt>
                <c:pt idx="1">
                  <c:v>10000.000000000007</c:v>
                </c:pt>
                <c:pt idx="2">
                  <c:v>10000.000000000007</c:v>
                </c:pt>
                <c:pt idx="3">
                  <c:v>10000.000000000007</c:v>
                </c:pt>
                <c:pt idx="4">
                  <c:v>10000.000000000007</c:v>
                </c:pt>
                <c:pt idx="5">
                  <c:v>10000.000000000007</c:v>
                </c:pt>
              </c:numCache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auto val="1"/>
        <c:lblOffset val="100"/>
        <c:noMultiLvlLbl val="0"/>
      </c:catAx>
      <c:valAx>
        <c:axId val="49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'Warmup Practice'!$E$145</c:f>
              <c:strCache>
                <c:ptCount val="1"/>
                <c:pt idx="0">
                  <c:v>Interest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'Warmup Practice'!$E$146:$E$151</c:f>
              <c:numCache>
                <c:ptCount val="6"/>
              </c:numCache>
            </c:numRef>
          </c:val>
          <c:smooth val="0"/>
        </c:ser>
        <c:ser>
          <c:idx val="1"/>
          <c:order val="1"/>
          <c:tx>
            <c:strRef>
              <c:f>'Warmup Practice'!$F$145</c:f>
              <c:strCache>
                <c:ptCount val="1"/>
                <c:pt idx="0">
                  <c:v>Principal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'Warmup Practice'!$F$146:$F$151</c:f>
              <c:numCache>
                <c:ptCount val="6"/>
              </c:numCache>
            </c:numRef>
          </c:val>
          <c:smooth val="0"/>
        </c:ser>
        <c:ser>
          <c:idx val="2"/>
          <c:order val="2"/>
          <c:tx>
            <c:strRef>
              <c:f>'Warmup Practice'!$G$145</c:f>
              <c:strCache>
                <c:ptCount val="1"/>
                <c:pt idx="0">
                  <c:v>Payment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'Warmup Practice'!$G$146:$G$151</c:f>
              <c:numCache>
                <c:ptCount val="6"/>
              </c:numCache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25081"/>
        <c:crosses val="autoZero"/>
        <c:auto val="1"/>
        <c:lblOffset val="100"/>
        <c:noMultiLvlLbl val="0"/>
      </c:catAx>
      <c:valAx>
        <c:axId val="6312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96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Month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Examples!$D$138:$AY$138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Interest Expense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Examples!$D$139:$AY$139</c:f>
              <c:numCache>
                <c:ptCount val="48"/>
                <c:pt idx="0">
                  <c:v>191.66666666666666</c:v>
                </c:pt>
                <c:pt idx="1">
                  <c:v>188.40272706389567</c:v>
                </c:pt>
                <c:pt idx="2">
                  <c:v>185.1115879644349</c:v>
                </c:pt>
                <c:pt idx="3">
                  <c:v>181.793022705812</c:v>
                </c:pt>
                <c:pt idx="4">
                  <c:v>178.44680273670056</c:v>
                </c:pt>
                <c:pt idx="5">
                  <c:v>175.07269760117987</c:v>
                </c:pt>
                <c:pt idx="6">
                  <c:v>171.6704749228631</c:v>
                </c:pt>
                <c:pt idx="7">
                  <c:v>168.2399003888938</c:v>
                </c:pt>
                <c:pt idx="8">
                  <c:v>164.780737733808</c:v>
                </c:pt>
                <c:pt idx="9">
                  <c:v>161.2927487232632</c:v>
                </c:pt>
                <c:pt idx="10">
                  <c:v>157.77569313763044</c:v>
                </c:pt>
                <c:pt idx="11">
                  <c:v>154.2293287554509</c:v>
                </c:pt>
                <c:pt idx="12">
                  <c:v>150.65341133675304</c:v>
                </c:pt>
                <c:pt idx="13">
                  <c:v>147.04769460623282</c:v>
                </c:pt>
                <c:pt idx="14">
                  <c:v>143.41193023629157</c:v>
                </c:pt>
                <c:pt idx="15">
                  <c:v>139.74586782993407</c:v>
                </c:pt>
                <c:pt idx="16">
                  <c:v>136.04925490352363</c:v>
                </c:pt>
                <c:pt idx="17">
                  <c:v>132.32183686939317</c:v>
                </c:pt>
                <c:pt idx="18">
                  <c:v>128.56335701831148</c:v>
                </c:pt>
                <c:pt idx="19">
                  <c:v>124.77355650180424</c:v>
                </c:pt>
                <c:pt idx="20">
                  <c:v>120.95217431432611</c:v>
                </c:pt>
                <c:pt idx="21">
                  <c:v>117.09894727528565</c:v>
                </c:pt>
                <c:pt idx="22">
                  <c:v>113.2136100109197</c:v>
                </c:pt>
                <c:pt idx="23">
                  <c:v>109.29589493601755</c:v>
                </c:pt>
                <c:pt idx="24">
                  <c:v>105.34553223549113</c:v>
                </c:pt>
                <c:pt idx="25">
                  <c:v>101.36224984579374</c:v>
                </c:pt>
                <c:pt idx="26">
                  <c:v>97.34577343618211</c:v>
                </c:pt>
                <c:pt idx="27">
                  <c:v>93.29582638982367</c:v>
                </c:pt>
                <c:pt idx="28">
                  <c:v>89.21212978474568</c:v>
                </c:pt>
                <c:pt idx="29">
                  <c:v>85.09440237462546</c:v>
                </c:pt>
                <c:pt idx="30">
                  <c:v>80.9423605694207</c:v>
                </c:pt>
                <c:pt idx="31">
                  <c:v>76.75571841583935</c:v>
                </c:pt>
                <c:pt idx="32">
                  <c:v>72.53418757764479</c:v>
                </c:pt>
                <c:pt idx="33">
                  <c:v>68.27747731579863</c:v>
                </c:pt>
                <c:pt idx="34">
                  <c:v>63.98529446843701</c:v>
                </c:pt>
                <c:pt idx="35">
                  <c:v>59.65734343068088</c:v>
                </c:pt>
                <c:pt idx="36">
                  <c:v>55.29332613427668</c:v>
                </c:pt>
                <c:pt idx="37">
                  <c:v>50.89294202706915</c:v>
                </c:pt>
                <c:pt idx="38">
                  <c:v>46.45588805230142</c:v>
                </c:pt>
                <c:pt idx="39">
                  <c:v>41.98185862774417</c:v>
                </c:pt>
                <c:pt idx="40">
                  <c:v>37.4705456246487</c:v>
                </c:pt>
                <c:pt idx="41">
                  <c:v>32.92163834652762</c:v>
                </c:pt>
                <c:pt idx="42">
                  <c:v>28.33482350775539</c:v>
                </c:pt>
                <c:pt idx="43">
                  <c:v>23.709785211993584</c:v>
                </c:pt>
                <c:pt idx="44">
                  <c:v>19.04620493043358</c:v>
                </c:pt>
                <c:pt idx="45">
                  <c:v>14.343761479860769</c:v>
                </c:pt>
                <c:pt idx="46">
                  <c:v>9.602131000532943</c:v>
                </c:pt>
                <c:pt idx="47">
                  <c:v>4.82098693387749</c:v>
                </c:pt>
              </c:numCache>
            </c:numRef>
          </c:val>
          <c:smooth val="0"/>
        </c:ser>
        <c:ser>
          <c:idx val="2"/>
          <c:order val="2"/>
          <c:tx>
            <c:v>Principal Reduction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Examples!$D$140:$AY$140</c:f>
              <c:numCache>
                <c:ptCount val="48"/>
                <c:pt idx="0">
                  <c:v>391.672752332521</c:v>
                </c:pt>
                <c:pt idx="1">
                  <c:v>394.93669193529195</c:v>
                </c:pt>
                <c:pt idx="2">
                  <c:v>398.22783103475274</c:v>
                </c:pt>
                <c:pt idx="3">
                  <c:v>401.5463962933756</c:v>
                </c:pt>
                <c:pt idx="4">
                  <c:v>404.8926162624871</c:v>
                </c:pt>
                <c:pt idx="5">
                  <c:v>408.26672139800775</c:v>
                </c:pt>
                <c:pt idx="6">
                  <c:v>411.6689440763245</c:v>
                </c:pt>
                <c:pt idx="7">
                  <c:v>415.0995186102938</c:v>
                </c:pt>
                <c:pt idx="8">
                  <c:v>418.5586812653796</c:v>
                </c:pt>
                <c:pt idx="9">
                  <c:v>422.0466702759244</c:v>
                </c:pt>
                <c:pt idx="10">
                  <c:v>425.56372586155715</c:v>
                </c:pt>
                <c:pt idx="11">
                  <c:v>429.11009024373675</c:v>
                </c:pt>
                <c:pt idx="12">
                  <c:v>432.6860076624346</c:v>
                </c:pt>
                <c:pt idx="13">
                  <c:v>436.2917243929548</c:v>
                </c:pt>
                <c:pt idx="14">
                  <c:v>439.927488762896</c:v>
                </c:pt>
                <c:pt idx="15">
                  <c:v>443.59355116925354</c:v>
                </c:pt>
                <c:pt idx="16">
                  <c:v>447.29016409566395</c:v>
                </c:pt>
                <c:pt idx="17">
                  <c:v>451.01758212979445</c:v>
                </c:pt>
                <c:pt idx="18">
                  <c:v>454.77606198087614</c:v>
                </c:pt>
                <c:pt idx="19">
                  <c:v>458.56586249738336</c:v>
                </c:pt>
                <c:pt idx="20">
                  <c:v>462.3872446848615</c:v>
                </c:pt>
                <c:pt idx="21">
                  <c:v>466.240471723902</c:v>
                </c:pt>
                <c:pt idx="22">
                  <c:v>470.1258089882679</c:v>
                </c:pt>
                <c:pt idx="23">
                  <c:v>474.0435240631701</c:v>
                </c:pt>
                <c:pt idx="24">
                  <c:v>477.9938867636965</c:v>
                </c:pt>
                <c:pt idx="25">
                  <c:v>481.9771691533939</c:v>
                </c:pt>
                <c:pt idx="26">
                  <c:v>485.9936455630055</c:v>
                </c:pt>
                <c:pt idx="27">
                  <c:v>490.04359260936394</c:v>
                </c:pt>
                <c:pt idx="28">
                  <c:v>494.12728921444193</c:v>
                </c:pt>
                <c:pt idx="29">
                  <c:v>498.24501662456214</c:v>
                </c:pt>
                <c:pt idx="30">
                  <c:v>502.3970584297669</c:v>
                </c:pt>
                <c:pt idx="31">
                  <c:v>506.5837005833483</c:v>
                </c:pt>
                <c:pt idx="32">
                  <c:v>510.8052314215428</c:v>
                </c:pt>
                <c:pt idx="33">
                  <c:v>515.061941683389</c:v>
                </c:pt>
                <c:pt idx="34">
                  <c:v>519.3541245307506</c:v>
                </c:pt>
                <c:pt idx="35">
                  <c:v>523.6820755685068</c:v>
                </c:pt>
                <c:pt idx="36">
                  <c:v>528.046092864911</c:v>
                </c:pt>
                <c:pt idx="37">
                  <c:v>532.4464769721185</c:v>
                </c:pt>
                <c:pt idx="38">
                  <c:v>536.8835309468861</c:v>
                </c:pt>
                <c:pt idx="39">
                  <c:v>541.3575603714435</c:v>
                </c:pt>
                <c:pt idx="40">
                  <c:v>545.8688733745389</c:v>
                </c:pt>
                <c:pt idx="41">
                  <c:v>550.41778065266</c:v>
                </c:pt>
                <c:pt idx="42">
                  <c:v>555.0045954914323</c:v>
                </c:pt>
                <c:pt idx="43">
                  <c:v>559.629633787194</c:v>
                </c:pt>
                <c:pt idx="44">
                  <c:v>564.2932140687541</c:v>
                </c:pt>
                <c:pt idx="45">
                  <c:v>568.9956575193269</c:v>
                </c:pt>
                <c:pt idx="46">
                  <c:v>573.7372879986547</c:v>
                </c:pt>
                <c:pt idx="47">
                  <c:v>578.5184320653101</c:v>
                </c:pt>
              </c:numCache>
            </c:numRef>
          </c:val>
          <c:smooth val="0"/>
        </c:ser>
        <c:ser>
          <c:idx val="3"/>
          <c:order val="3"/>
          <c:tx>
            <c:v>Monthly Payment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Examples!$D$141:$AY$141</c:f>
              <c:numCache>
                <c:ptCount val="48"/>
                <c:pt idx="0">
                  <c:v>583.3394189991876</c:v>
                </c:pt>
                <c:pt idx="1">
                  <c:v>583.3394189991876</c:v>
                </c:pt>
                <c:pt idx="2">
                  <c:v>583.3394189991876</c:v>
                </c:pt>
                <c:pt idx="3">
                  <c:v>583.3394189991876</c:v>
                </c:pt>
                <c:pt idx="4">
                  <c:v>583.3394189991876</c:v>
                </c:pt>
                <c:pt idx="5">
                  <c:v>583.3394189991876</c:v>
                </c:pt>
                <c:pt idx="6">
                  <c:v>583.3394189991876</c:v>
                </c:pt>
                <c:pt idx="7">
                  <c:v>583.3394189991876</c:v>
                </c:pt>
                <c:pt idx="8">
                  <c:v>583.3394189991876</c:v>
                </c:pt>
                <c:pt idx="9">
                  <c:v>583.3394189991876</c:v>
                </c:pt>
                <c:pt idx="10">
                  <c:v>583.3394189991876</c:v>
                </c:pt>
                <c:pt idx="11">
                  <c:v>583.3394189991876</c:v>
                </c:pt>
                <c:pt idx="12">
                  <c:v>583.3394189991876</c:v>
                </c:pt>
                <c:pt idx="13">
                  <c:v>583.3394189991876</c:v>
                </c:pt>
                <c:pt idx="14">
                  <c:v>583.3394189991876</c:v>
                </c:pt>
                <c:pt idx="15">
                  <c:v>583.3394189991876</c:v>
                </c:pt>
                <c:pt idx="16">
                  <c:v>583.3394189991876</c:v>
                </c:pt>
                <c:pt idx="17">
                  <c:v>583.3394189991876</c:v>
                </c:pt>
                <c:pt idx="18">
                  <c:v>583.3394189991876</c:v>
                </c:pt>
                <c:pt idx="19">
                  <c:v>583.3394189991876</c:v>
                </c:pt>
                <c:pt idx="20">
                  <c:v>583.3394189991876</c:v>
                </c:pt>
                <c:pt idx="21">
                  <c:v>583.3394189991876</c:v>
                </c:pt>
                <c:pt idx="22">
                  <c:v>583.3394189991876</c:v>
                </c:pt>
                <c:pt idx="23">
                  <c:v>583.3394189991876</c:v>
                </c:pt>
                <c:pt idx="24">
                  <c:v>583.3394189991876</c:v>
                </c:pt>
                <c:pt idx="25">
                  <c:v>583.3394189991876</c:v>
                </c:pt>
                <c:pt idx="26">
                  <c:v>583.3394189991876</c:v>
                </c:pt>
                <c:pt idx="27">
                  <c:v>583.3394189991876</c:v>
                </c:pt>
                <c:pt idx="28">
                  <c:v>583.3394189991876</c:v>
                </c:pt>
                <c:pt idx="29">
                  <c:v>583.3394189991876</c:v>
                </c:pt>
                <c:pt idx="30">
                  <c:v>583.3394189991876</c:v>
                </c:pt>
                <c:pt idx="31">
                  <c:v>583.3394189991876</c:v>
                </c:pt>
                <c:pt idx="32">
                  <c:v>583.3394189991876</c:v>
                </c:pt>
                <c:pt idx="33">
                  <c:v>583.3394189991876</c:v>
                </c:pt>
                <c:pt idx="34">
                  <c:v>583.3394189991876</c:v>
                </c:pt>
                <c:pt idx="35">
                  <c:v>583.3394189991876</c:v>
                </c:pt>
                <c:pt idx="36">
                  <c:v>583.3394189991876</c:v>
                </c:pt>
                <c:pt idx="37">
                  <c:v>583.3394189991876</c:v>
                </c:pt>
                <c:pt idx="38">
                  <c:v>583.3394189991876</c:v>
                </c:pt>
                <c:pt idx="39">
                  <c:v>583.3394189991876</c:v>
                </c:pt>
                <c:pt idx="40">
                  <c:v>583.3394189991876</c:v>
                </c:pt>
                <c:pt idx="41">
                  <c:v>583.3394189991876</c:v>
                </c:pt>
                <c:pt idx="42">
                  <c:v>583.3394189991876</c:v>
                </c:pt>
                <c:pt idx="43">
                  <c:v>583.3394189991876</c:v>
                </c:pt>
                <c:pt idx="44">
                  <c:v>583.3394189991876</c:v>
                </c:pt>
                <c:pt idx="45">
                  <c:v>583.3394189991876</c:v>
                </c:pt>
                <c:pt idx="46">
                  <c:v>583.3394189991876</c:v>
                </c:pt>
                <c:pt idx="47">
                  <c:v>583.3394189991876</c:v>
                </c:pt>
              </c:numCache>
            </c:numRef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Interest Expense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Examples!$D$177:$AY$177</c:f>
              <c:numCache>
                <c:ptCount val="48"/>
                <c:pt idx="0">
                  <c:v>191.66666666666666</c:v>
                </c:pt>
                <c:pt idx="1">
                  <c:v>191.66666666666666</c:v>
                </c:pt>
                <c:pt idx="2">
                  <c:v>191.66666666666666</c:v>
                </c:pt>
                <c:pt idx="3">
                  <c:v>191.66666666666666</c:v>
                </c:pt>
                <c:pt idx="4">
                  <c:v>191.66666666666666</c:v>
                </c:pt>
                <c:pt idx="5">
                  <c:v>191.66666666666666</c:v>
                </c:pt>
                <c:pt idx="6">
                  <c:v>191.66666666666666</c:v>
                </c:pt>
                <c:pt idx="7">
                  <c:v>191.66666666666666</c:v>
                </c:pt>
                <c:pt idx="8">
                  <c:v>191.66666666666666</c:v>
                </c:pt>
                <c:pt idx="9">
                  <c:v>191.66666666666666</c:v>
                </c:pt>
                <c:pt idx="10">
                  <c:v>191.66666666666666</c:v>
                </c:pt>
                <c:pt idx="11">
                  <c:v>191.66666666666666</c:v>
                </c:pt>
                <c:pt idx="12">
                  <c:v>191.66666666666666</c:v>
                </c:pt>
                <c:pt idx="13">
                  <c:v>191.66666666666666</c:v>
                </c:pt>
                <c:pt idx="14">
                  <c:v>191.66666666666666</c:v>
                </c:pt>
                <c:pt idx="15">
                  <c:v>191.66666666666666</c:v>
                </c:pt>
                <c:pt idx="16">
                  <c:v>191.66666666666666</c:v>
                </c:pt>
                <c:pt idx="17">
                  <c:v>191.66666666666666</c:v>
                </c:pt>
                <c:pt idx="18">
                  <c:v>191.66666666666666</c:v>
                </c:pt>
                <c:pt idx="19">
                  <c:v>191.66666666666666</c:v>
                </c:pt>
                <c:pt idx="20">
                  <c:v>191.66666666666666</c:v>
                </c:pt>
                <c:pt idx="21">
                  <c:v>191.66666666666666</c:v>
                </c:pt>
                <c:pt idx="22">
                  <c:v>191.66666666666666</c:v>
                </c:pt>
                <c:pt idx="23">
                  <c:v>191.66666666666666</c:v>
                </c:pt>
                <c:pt idx="24">
                  <c:v>191.66666666666666</c:v>
                </c:pt>
                <c:pt idx="25">
                  <c:v>191.66666666666666</c:v>
                </c:pt>
                <c:pt idx="26">
                  <c:v>191.66666666666666</c:v>
                </c:pt>
                <c:pt idx="27">
                  <c:v>191.66666666666666</c:v>
                </c:pt>
                <c:pt idx="28">
                  <c:v>191.66666666666666</c:v>
                </c:pt>
                <c:pt idx="29">
                  <c:v>191.66666666666666</c:v>
                </c:pt>
                <c:pt idx="30">
                  <c:v>191.66666666666666</c:v>
                </c:pt>
                <c:pt idx="31">
                  <c:v>191.66666666666666</c:v>
                </c:pt>
                <c:pt idx="32">
                  <c:v>191.66666666666666</c:v>
                </c:pt>
                <c:pt idx="33">
                  <c:v>191.66666666666666</c:v>
                </c:pt>
                <c:pt idx="34">
                  <c:v>191.66666666666666</c:v>
                </c:pt>
                <c:pt idx="35">
                  <c:v>191.66666666666666</c:v>
                </c:pt>
                <c:pt idx="36">
                  <c:v>191.66666666666666</c:v>
                </c:pt>
                <c:pt idx="37">
                  <c:v>191.66666666666666</c:v>
                </c:pt>
                <c:pt idx="38">
                  <c:v>191.66666666666666</c:v>
                </c:pt>
                <c:pt idx="39">
                  <c:v>191.66666666666666</c:v>
                </c:pt>
                <c:pt idx="40">
                  <c:v>191.66666666666666</c:v>
                </c:pt>
                <c:pt idx="41">
                  <c:v>191.66666666666666</c:v>
                </c:pt>
                <c:pt idx="42">
                  <c:v>191.66666666666666</c:v>
                </c:pt>
                <c:pt idx="43">
                  <c:v>191.66666666666666</c:v>
                </c:pt>
                <c:pt idx="44">
                  <c:v>191.66666666666666</c:v>
                </c:pt>
                <c:pt idx="45">
                  <c:v>191.66666666666666</c:v>
                </c:pt>
                <c:pt idx="46">
                  <c:v>191.66666666666666</c:v>
                </c:pt>
                <c:pt idx="47">
                  <c:v>191.66666666666666</c:v>
                </c:pt>
              </c:numCache>
            </c:numRef>
          </c:val>
          <c:smooth val="0"/>
        </c:ser>
        <c:ser>
          <c:idx val="1"/>
          <c:order val="1"/>
          <c:tx>
            <c:v>Principal Reduction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Examples!$D$178:$AY$178</c:f>
              <c:numCache>
                <c:ptCount val="48"/>
                <c:pt idx="0">
                  <c:v>479.1666666666667</c:v>
                </c:pt>
                <c:pt idx="1">
                  <c:v>479.1666666666667</c:v>
                </c:pt>
                <c:pt idx="2">
                  <c:v>479.1666666666667</c:v>
                </c:pt>
                <c:pt idx="3">
                  <c:v>479.1666666666667</c:v>
                </c:pt>
                <c:pt idx="4">
                  <c:v>479.1666666666667</c:v>
                </c:pt>
                <c:pt idx="5">
                  <c:v>479.1666666666667</c:v>
                </c:pt>
                <c:pt idx="6">
                  <c:v>479.1666666666667</c:v>
                </c:pt>
                <c:pt idx="7">
                  <c:v>479.1666666666667</c:v>
                </c:pt>
                <c:pt idx="8">
                  <c:v>479.1666666666667</c:v>
                </c:pt>
                <c:pt idx="9">
                  <c:v>479.1666666666667</c:v>
                </c:pt>
                <c:pt idx="10">
                  <c:v>479.1666666666667</c:v>
                </c:pt>
                <c:pt idx="11">
                  <c:v>479.1666666666667</c:v>
                </c:pt>
                <c:pt idx="12">
                  <c:v>479.1666666666667</c:v>
                </c:pt>
                <c:pt idx="13">
                  <c:v>479.1666666666667</c:v>
                </c:pt>
                <c:pt idx="14">
                  <c:v>479.1666666666667</c:v>
                </c:pt>
                <c:pt idx="15">
                  <c:v>479.1666666666667</c:v>
                </c:pt>
                <c:pt idx="16">
                  <c:v>479.1666666666667</c:v>
                </c:pt>
                <c:pt idx="17">
                  <c:v>479.1666666666667</c:v>
                </c:pt>
                <c:pt idx="18">
                  <c:v>479.1666666666667</c:v>
                </c:pt>
                <c:pt idx="19">
                  <c:v>479.1666666666667</c:v>
                </c:pt>
                <c:pt idx="20">
                  <c:v>479.1666666666667</c:v>
                </c:pt>
                <c:pt idx="21">
                  <c:v>479.1666666666667</c:v>
                </c:pt>
                <c:pt idx="22">
                  <c:v>479.1666666666667</c:v>
                </c:pt>
                <c:pt idx="23">
                  <c:v>479.1666666666667</c:v>
                </c:pt>
                <c:pt idx="24">
                  <c:v>479.1666666666667</c:v>
                </c:pt>
                <c:pt idx="25">
                  <c:v>479.1666666666667</c:v>
                </c:pt>
                <c:pt idx="26">
                  <c:v>479.1666666666667</c:v>
                </c:pt>
                <c:pt idx="27">
                  <c:v>479.1666666666667</c:v>
                </c:pt>
                <c:pt idx="28">
                  <c:v>479.1666666666667</c:v>
                </c:pt>
                <c:pt idx="29">
                  <c:v>479.1666666666667</c:v>
                </c:pt>
                <c:pt idx="30">
                  <c:v>479.1666666666667</c:v>
                </c:pt>
                <c:pt idx="31">
                  <c:v>479.1666666666667</c:v>
                </c:pt>
                <c:pt idx="32">
                  <c:v>479.1666666666667</c:v>
                </c:pt>
                <c:pt idx="33">
                  <c:v>479.1666666666667</c:v>
                </c:pt>
                <c:pt idx="34">
                  <c:v>479.1666666666667</c:v>
                </c:pt>
                <c:pt idx="35">
                  <c:v>479.1666666666667</c:v>
                </c:pt>
                <c:pt idx="36">
                  <c:v>479.1666666666667</c:v>
                </c:pt>
                <c:pt idx="37">
                  <c:v>479.1666666666667</c:v>
                </c:pt>
                <c:pt idx="38">
                  <c:v>479.1666666666667</c:v>
                </c:pt>
                <c:pt idx="39">
                  <c:v>479.1666666666667</c:v>
                </c:pt>
                <c:pt idx="40">
                  <c:v>479.1666666666667</c:v>
                </c:pt>
                <c:pt idx="41">
                  <c:v>479.1666666666667</c:v>
                </c:pt>
                <c:pt idx="42">
                  <c:v>479.1666666666667</c:v>
                </c:pt>
                <c:pt idx="43">
                  <c:v>479.1666666666667</c:v>
                </c:pt>
                <c:pt idx="44">
                  <c:v>479.1666666666667</c:v>
                </c:pt>
                <c:pt idx="45">
                  <c:v>479.1666666666667</c:v>
                </c:pt>
                <c:pt idx="46">
                  <c:v>479.1666666666667</c:v>
                </c:pt>
                <c:pt idx="47">
                  <c:v>479.1666666666667</c:v>
                </c:pt>
              </c:numCache>
            </c:numRef>
          </c:val>
          <c:smooth val="0"/>
        </c:ser>
        <c:ser>
          <c:idx val="2"/>
          <c:order val="2"/>
          <c:tx>
            <c:v>Monthly Payment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Examples!$D$179:$AY$179</c:f>
              <c:numCache>
                <c:ptCount val="48"/>
                <c:pt idx="0">
                  <c:v>670.8333333333334</c:v>
                </c:pt>
                <c:pt idx="1">
                  <c:v>670.8333333333334</c:v>
                </c:pt>
                <c:pt idx="2">
                  <c:v>670.8333333333334</c:v>
                </c:pt>
                <c:pt idx="3">
                  <c:v>670.8333333333334</c:v>
                </c:pt>
                <c:pt idx="4">
                  <c:v>670.8333333333334</c:v>
                </c:pt>
                <c:pt idx="5">
                  <c:v>670.8333333333334</c:v>
                </c:pt>
                <c:pt idx="6">
                  <c:v>670.8333333333334</c:v>
                </c:pt>
                <c:pt idx="7">
                  <c:v>670.8333333333334</c:v>
                </c:pt>
                <c:pt idx="8">
                  <c:v>670.8333333333334</c:v>
                </c:pt>
                <c:pt idx="9">
                  <c:v>670.8333333333334</c:v>
                </c:pt>
                <c:pt idx="10">
                  <c:v>670.8333333333334</c:v>
                </c:pt>
                <c:pt idx="11">
                  <c:v>670.8333333333334</c:v>
                </c:pt>
                <c:pt idx="12">
                  <c:v>670.8333333333334</c:v>
                </c:pt>
                <c:pt idx="13">
                  <c:v>670.8333333333334</c:v>
                </c:pt>
                <c:pt idx="14">
                  <c:v>670.8333333333334</c:v>
                </c:pt>
                <c:pt idx="15">
                  <c:v>670.8333333333334</c:v>
                </c:pt>
                <c:pt idx="16">
                  <c:v>670.8333333333334</c:v>
                </c:pt>
                <c:pt idx="17">
                  <c:v>670.8333333333334</c:v>
                </c:pt>
                <c:pt idx="18">
                  <c:v>670.8333333333334</c:v>
                </c:pt>
                <c:pt idx="19">
                  <c:v>670.8333333333334</c:v>
                </c:pt>
                <c:pt idx="20">
                  <c:v>670.8333333333334</c:v>
                </c:pt>
                <c:pt idx="21">
                  <c:v>670.8333333333334</c:v>
                </c:pt>
                <c:pt idx="22">
                  <c:v>670.8333333333334</c:v>
                </c:pt>
                <c:pt idx="23">
                  <c:v>670.8333333333334</c:v>
                </c:pt>
                <c:pt idx="24">
                  <c:v>670.8333333333334</c:v>
                </c:pt>
                <c:pt idx="25">
                  <c:v>670.8333333333334</c:v>
                </c:pt>
                <c:pt idx="26">
                  <c:v>670.8333333333334</c:v>
                </c:pt>
                <c:pt idx="27">
                  <c:v>670.8333333333334</c:v>
                </c:pt>
                <c:pt idx="28">
                  <c:v>670.8333333333334</c:v>
                </c:pt>
                <c:pt idx="29">
                  <c:v>670.8333333333334</c:v>
                </c:pt>
                <c:pt idx="30">
                  <c:v>670.8333333333334</c:v>
                </c:pt>
                <c:pt idx="31">
                  <c:v>670.8333333333334</c:v>
                </c:pt>
                <c:pt idx="32">
                  <c:v>670.8333333333334</c:v>
                </c:pt>
                <c:pt idx="33">
                  <c:v>670.8333333333334</c:v>
                </c:pt>
                <c:pt idx="34">
                  <c:v>670.8333333333334</c:v>
                </c:pt>
                <c:pt idx="35">
                  <c:v>670.8333333333334</c:v>
                </c:pt>
                <c:pt idx="36">
                  <c:v>670.8333333333334</c:v>
                </c:pt>
                <c:pt idx="37">
                  <c:v>670.8333333333334</c:v>
                </c:pt>
                <c:pt idx="38">
                  <c:v>670.8333333333334</c:v>
                </c:pt>
                <c:pt idx="39">
                  <c:v>670.8333333333334</c:v>
                </c:pt>
                <c:pt idx="40">
                  <c:v>670.8333333333334</c:v>
                </c:pt>
                <c:pt idx="41">
                  <c:v>670.8333333333334</c:v>
                </c:pt>
                <c:pt idx="42">
                  <c:v>670.8333333333334</c:v>
                </c:pt>
                <c:pt idx="43">
                  <c:v>670.8333333333334</c:v>
                </c:pt>
                <c:pt idx="44">
                  <c:v>670.8333333333334</c:v>
                </c:pt>
                <c:pt idx="45">
                  <c:v>670.8333333333334</c:v>
                </c:pt>
                <c:pt idx="46">
                  <c:v>670.8333333333334</c:v>
                </c:pt>
                <c:pt idx="47">
                  <c:v>670.8333333333334</c:v>
                </c:pt>
              </c:numCache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2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84</xdr:row>
      <xdr:rowOff>142875</xdr:rowOff>
    </xdr:from>
    <xdr:to>
      <xdr:col>2</xdr:col>
      <xdr:colOff>200025</xdr:colOff>
      <xdr:row>95</xdr:row>
      <xdr:rowOff>66675</xdr:rowOff>
    </xdr:to>
    <xdr:sp>
      <xdr:nvSpPr>
        <xdr:cNvPr id="1" name="Line 1"/>
        <xdr:cNvSpPr>
          <a:spLocks/>
        </xdr:cNvSpPr>
      </xdr:nvSpPr>
      <xdr:spPr>
        <a:xfrm>
          <a:off x="1409700" y="14087475"/>
          <a:ext cx="0" cy="176212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63</xdr:row>
      <xdr:rowOff>104775</xdr:rowOff>
    </xdr:from>
    <xdr:to>
      <xdr:col>3</xdr:col>
      <xdr:colOff>666750</xdr:colOff>
      <xdr:row>74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38450" y="10544175"/>
          <a:ext cx="0" cy="1828800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40</xdr:row>
      <xdr:rowOff>95250</xdr:rowOff>
    </xdr:from>
    <xdr:to>
      <xdr:col>2</xdr:col>
      <xdr:colOff>647700</xdr:colOff>
      <xdr:row>51</xdr:row>
      <xdr:rowOff>66675</xdr:rowOff>
    </xdr:to>
    <xdr:sp>
      <xdr:nvSpPr>
        <xdr:cNvPr id="3" name="Line 3"/>
        <xdr:cNvSpPr>
          <a:spLocks/>
        </xdr:cNvSpPr>
      </xdr:nvSpPr>
      <xdr:spPr>
        <a:xfrm>
          <a:off x="1847850" y="6591300"/>
          <a:ext cx="9525" cy="1847850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51</xdr:row>
      <xdr:rowOff>76200</xdr:rowOff>
    </xdr:from>
    <xdr:to>
      <xdr:col>2</xdr:col>
      <xdr:colOff>647700</xdr:colOff>
      <xdr:row>62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1847850" y="8448675"/>
          <a:ext cx="9525" cy="191452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71</xdr:row>
      <xdr:rowOff>104775</xdr:rowOff>
    </xdr:from>
    <xdr:to>
      <xdr:col>5</xdr:col>
      <xdr:colOff>542925</xdr:colOff>
      <xdr:row>81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419600" y="11877675"/>
          <a:ext cx="0" cy="1676400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95</xdr:row>
      <xdr:rowOff>85725</xdr:rowOff>
    </xdr:from>
    <xdr:to>
      <xdr:col>3</xdr:col>
      <xdr:colOff>666750</xdr:colOff>
      <xdr:row>107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2828925" y="15868650"/>
          <a:ext cx="9525" cy="200977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82</xdr:row>
      <xdr:rowOff>66675</xdr:rowOff>
    </xdr:from>
    <xdr:to>
      <xdr:col>7</xdr:col>
      <xdr:colOff>0</xdr:colOff>
      <xdr:row>82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4648200" y="13677900"/>
          <a:ext cx="581025" cy="285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82</xdr:row>
      <xdr:rowOff>95250</xdr:rowOff>
    </xdr:from>
    <xdr:to>
      <xdr:col>6</xdr:col>
      <xdr:colOff>628650</xdr:colOff>
      <xdr:row>85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4352925" y="13706475"/>
          <a:ext cx="866775" cy="504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94</xdr:row>
      <xdr:rowOff>104775</xdr:rowOff>
    </xdr:from>
    <xdr:to>
      <xdr:col>2</xdr:col>
      <xdr:colOff>200025</xdr:colOff>
      <xdr:row>106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400175" y="15725775"/>
          <a:ext cx="9525" cy="200977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117</xdr:row>
      <xdr:rowOff>76200</xdr:rowOff>
    </xdr:from>
    <xdr:to>
      <xdr:col>2</xdr:col>
      <xdr:colOff>771525</xdr:colOff>
      <xdr:row>128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971675" y="19535775"/>
          <a:ext cx="9525" cy="187642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118</xdr:row>
      <xdr:rowOff>76200</xdr:rowOff>
    </xdr:from>
    <xdr:to>
      <xdr:col>3</xdr:col>
      <xdr:colOff>685800</xdr:colOff>
      <xdr:row>129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847975" y="19707225"/>
          <a:ext cx="9525" cy="187642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141</xdr:row>
      <xdr:rowOff>85725</xdr:rowOff>
    </xdr:from>
    <xdr:to>
      <xdr:col>3</xdr:col>
      <xdr:colOff>104775</xdr:colOff>
      <xdr:row>142</xdr:row>
      <xdr:rowOff>38100</xdr:rowOff>
    </xdr:to>
    <xdr:sp>
      <xdr:nvSpPr>
        <xdr:cNvPr id="12" name="Line 12"/>
        <xdr:cNvSpPr>
          <a:spLocks/>
        </xdr:cNvSpPr>
      </xdr:nvSpPr>
      <xdr:spPr>
        <a:xfrm flipV="1">
          <a:off x="657225" y="23555325"/>
          <a:ext cx="1619250" cy="123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142</xdr:row>
      <xdr:rowOff>76200</xdr:rowOff>
    </xdr:from>
    <xdr:to>
      <xdr:col>3</xdr:col>
      <xdr:colOff>104775</xdr:colOff>
      <xdr:row>142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47700" y="23717250"/>
          <a:ext cx="1628775" cy="190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138</xdr:row>
      <xdr:rowOff>47625</xdr:rowOff>
    </xdr:from>
    <xdr:to>
      <xdr:col>12</xdr:col>
      <xdr:colOff>219075</xdr:colOff>
      <xdr:row>150</xdr:row>
      <xdr:rowOff>95250</xdr:rowOff>
    </xdr:to>
    <xdr:graphicFrame>
      <xdr:nvGraphicFramePr>
        <xdr:cNvPr id="14" name="Chart 14"/>
        <xdr:cNvGraphicFramePr/>
      </xdr:nvGraphicFramePr>
      <xdr:xfrm>
        <a:off x="5305425" y="23012400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156</xdr:row>
      <xdr:rowOff>0</xdr:rowOff>
    </xdr:from>
    <xdr:to>
      <xdr:col>16</xdr:col>
      <xdr:colOff>381000</xdr:colOff>
      <xdr:row>173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5955625"/>
          <a:ext cx="63627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87</xdr:row>
      <xdr:rowOff>142875</xdr:rowOff>
    </xdr:from>
    <xdr:to>
      <xdr:col>2</xdr:col>
      <xdr:colOff>200025</xdr:colOff>
      <xdr:row>98</xdr:row>
      <xdr:rowOff>66675</xdr:rowOff>
    </xdr:to>
    <xdr:sp>
      <xdr:nvSpPr>
        <xdr:cNvPr id="1" name="Line 29"/>
        <xdr:cNvSpPr>
          <a:spLocks/>
        </xdr:cNvSpPr>
      </xdr:nvSpPr>
      <xdr:spPr>
        <a:xfrm>
          <a:off x="1409700" y="14573250"/>
          <a:ext cx="0" cy="176212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66</xdr:row>
      <xdr:rowOff>104775</xdr:rowOff>
    </xdr:from>
    <xdr:to>
      <xdr:col>3</xdr:col>
      <xdr:colOff>666750</xdr:colOff>
      <xdr:row>77</xdr:row>
      <xdr:rowOff>95250</xdr:rowOff>
    </xdr:to>
    <xdr:sp>
      <xdr:nvSpPr>
        <xdr:cNvPr id="2" name="Line 30"/>
        <xdr:cNvSpPr>
          <a:spLocks/>
        </xdr:cNvSpPr>
      </xdr:nvSpPr>
      <xdr:spPr>
        <a:xfrm>
          <a:off x="2838450" y="11029950"/>
          <a:ext cx="0" cy="1828800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43</xdr:row>
      <xdr:rowOff>95250</xdr:rowOff>
    </xdr:from>
    <xdr:to>
      <xdr:col>2</xdr:col>
      <xdr:colOff>647700</xdr:colOff>
      <xdr:row>54</xdr:row>
      <xdr:rowOff>66675</xdr:rowOff>
    </xdr:to>
    <xdr:sp>
      <xdr:nvSpPr>
        <xdr:cNvPr id="3" name="Line 31"/>
        <xdr:cNvSpPr>
          <a:spLocks/>
        </xdr:cNvSpPr>
      </xdr:nvSpPr>
      <xdr:spPr>
        <a:xfrm>
          <a:off x="1847850" y="7077075"/>
          <a:ext cx="9525" cy="1847850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54</xdr:row>
      <xdr:rowOff>76200</xdr:rowOff>
    </xdr:from>
    <xdr:to>
      <xdr:col>2</xdr:col>
      <xdr:colOff>647700</xdr:colOff>
      <xdr:row>65</xdr:row>
      <xdr:rowOff>95250</xdr:rowOff>
    </xdr:to>
    <xdr:sp>
      <xdr:nvSpPr>
        <xdr:cNvPr id="4" name="Line 32"/>
        <xdr:cNvSpPr>
          <a:spLocks/>
        </xdr:cNvSpPr>
      </xdr:nvSpPr>
      <xdr:spPr>
        <a:xfrm flipH="1">
          <a:off x="1847850" y="8934450"/>
          <a:ext cx="9525" cy="191452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74</xdr:row>
      <xdr:rowOff>104775</xdr:rowOff>
    </xdr:from>
    <xdr:to>
      <xdr:col>5</xdr:col>
      <xdr:colOff>542925</xdr:colOff>
      <xdr:row>84</xdr:row>
      <xdr:rowOff>123825</xdr:rowOff>
    </xdr:to>
    <xdr:sp>
      <xdr:nvSpPr>
        <xdr:cNvPr id="5" name="Line 33"/>
        <xdr:cNvSpPr>
          <a:spLocks/>
        </xdr:cNvSpPr>
      </xdr:nvSpPr>
      <xdr:spPr>
        <a:xfrm>
          <a:off x="4419600" y="12363450"/>
          <a:ext cx="0" cy="1676400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98</xdr:row>
      <xdr:rowOff>85725</xdr:rowOff>
    </xdr:from>
    <xdr:to>
      <xdr:col>3</xdr:col>
      <xdr:colOff>666750</xdr:colOff>
      <xdr:row>110</xdr:row>
      <xdr:rowOff>85725</xdr:rowOff>
    </xdr:to>
    <xdr:sp>
      <xdr:nvSpPr>
        <xdr:cNvPr id="6" name="Line 34"/>
        <xdr:cNvSpPr>
          <a:spLocks/>
        </xdr:cNvSpPr>
      </xdr:nvSpPr>
      <xdr:spPr>
        <a:xfrm flipH="1">
          <a:off x="2828925" y="16354425"/>
          <a:ext cx="9525" cy="200977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85</xdr:row>
      <xdr:rowOff>66675</xdr:rowOff>
    </xdr:from>
    <xdr:to>
      <xdr:col>7</xdr:col>
      <xdr:colOff>0</xdr:colOff>
      <xdr:row>85</xdr:row>
      <xdr:rowOff>95250</xdr:rowOff>
    </xdr:to>
    <xdr:sp>
      <xdr:nvSpPr>
        <xdr:cNvPr id="7" name="Line 35"/>
        <xdr:cNvSpPr>
          <a:spLocks/>
        </xdr:cNvSpPr>
      </xdr:nvSpPr>
      <xdr:spPr>
        <a:xfrm flipH="1">
          <a:off x="4648200" y="14163675"/>
          <a:ext cx="581025" cy="285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85</xdr:row>
      <xdr:rowOff>95250</xdr:rowOff>
    </xdr:from>
    <xdr:to>
      <xdr:col>6</xdr:col>
      <xdr:colOff>628650</xdr:colOff>
      <xdr:row>88</xdr:row>
      <xdr:rowOff>95250</xdr:rowOff>
    </xdr:to>
    <xdr:sp>
      <xdr:nvSpPr>
        <xdr:cNvPr id="8" name="Line 36"/>
        <xdr:cNvSpPr>
          <a:spLocks/>
        </xdr:cNvSpPr>
      </xdr:nvSpPr>
      <xdr:spPr>
        <a:xfrm flipH="1">
          <a:off x="4352925" y="14192250"/>
          <a:ext cx="866775" cy="504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97</xdr:row>
      <xdr:rowOff>104775</xdr:rowOff>
    </xdr:from>
    <xdr:to>
      <xdr:col>2</xdr:col>
      <xdr:colOff>200025</xdr:colOff>
      <xdr:row>109</xdr:row>
      <xdr:rowOff>114300</xdr:rowOff>
    </xdr:to>
    <xdr:sp>
      <xdr:nvSpPr>
        <xdr:cNvPr id="9" name="Line 48"/>
        <xdr:cNvSpPr>
          <a:spLocks/>
        </xdr:cNvSpPr>
      </xdr:nvSpPr>
      <xdr:spPr>
        <a:xfrm flipH="1">
          <a:off x="1400175" y="16211550"/>
          <a:ext cx="9525" cy="200977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120</xdr:row>
      <xdr:rowOff>76200</xdr:rowOff>
    </xdr:from>
    <xdr:to>
      <xdr:col>2</xdr:col>
      <xdr:colOff>771525</xdr:colOff>
      <xdr:row>131</xdr:row>
      <xdr:rowOff>114300</xdr:rowOff>
    </xdr:to>
    <xdr:sp>
      <xdr:nvSpPr>
        <xdr:cNvPr id="10" name="Line 50"/>
        <xdr:cNvSpPr>
          <a:spLocks/>
        </xdr:cNvSpPr>
      </xdr:nvSpPr>
      <xdr:spPr>
        <a:xfrm>
          <a:off x="1971675" y="20021550"/>
          <a:ext cx="9525" cy="187642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121</xdr:row>
      <xdr:rowOff>76200</xdr:rowOff>
    </xdr:from>
    <xdr:to>
      <xdr:col>3</xdr:col>
      <xdr:colOff>685800</xdr:colOff>
      <xdr:row>132</xdr:row>
      <xdr:rowOff>114300</xdr:rowOff>
    </xdr:to>
    <xdr:sp>
      <xdr:nvSpPr>
        <xdr:cNvPr id="11" name="Line 51"/>
        <xdr:cNvSpPr>
          <a:spLocks/>
        </xdr:cNvSpPr>
      </xdr:nvSpPr>
      <xdr:spPr>
        <a:xfrm>
          <a:off x="2847975" y="20193000"/>
          <a:ext cx="9525" cy="1876425"/>
        </a:xfrm>
        <a:prstGeom prst="line">
          <a:avLst/>
        </a:prstGeom>
        <a:noFill/>
        <a:ln w="1587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144</xdr:row>
      <xdr:rowOff>85725</xdr:rowOff>
    </xdr:from>
    <xdr:to>
      <xdr:col>3</xdr:col>
      <xdr:colOff>104775</xdr:colOff>
      <xdr:row>145</xdr:row>
      <xdr:rowOff>38100</xdr:rowOff>
    </xdr:to>
    <xdr:sp>
      <xdr:nvSpPr>
        <xdr:cNvPr id="12" name="Line 52"/>
        <xdr:cNvSpPr>
          <a:spLocks/>
        </xdr:cNvSpPr>
      </xdr:nvSpPr>
      <xdr:spPr>
        <a:xfrm flipV="1">
          <a:off x="657225" y="24041100"/>
          <a:ext cx="1619250" cy="123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145</xdr:row>
      <xdr:rowOff>76200</xdr:rowOff>
    </xdr:from>
    <xdr:to>
      <xdr:col>3</xdr:col>
      <xdr:colOff>104775</xdr:colOff>
      <xdr:row>145</xdr:row>
      <xdr:rowOff>95250</xdr:rowOff>
    </xdr:to>
    <xdr:sp>
      <xdr:nvSpPr>
        <xdr:cNvPr id="13" name="Line 53"/>
        <xdr:cNvSpPr>
          <a:spLocks/>
        </xdr:cNvSpPr>
      </xdr:nvSpPr>
      <xdr:spPr>
        <a:xfrm>
          <a:off x="647700" y="24203025"/>
          <a:ext cx="1628775" cy="190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141</xdr:row>
      <xdr:rowOff>47625</xdr:rowOff>
    </xdr:from>
    <xdr:to>
      <xdr:col>12</xdr:col>
      <xdr:colOff>219075</xdr:colOff>
      <xdr:row>153</xdr:row>
      <xdr:rowOff>95250</xdr:rowOff>
    </xdr:to>
    <xdr:graphicFrame>
      <xdr:nvGraphicFramePr>
        <xdr:cNvPr id="14" name="Chart 71"/>
        <xdr:cNvGraphicFramePr/>
      </xdr:nvGraphicFramePr>
      <xdr:xfrm>
        <a:off x="5305425" y="2349817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159</xdr:row>
      <xdr:rowOff>0</xdr:rowOff>
    </xdr:from>
    <xdr:to>
      <xdr:col>16</xdr:col>
      <xdr:colOff>381000</xdr:colOff>
      <xdr:row>176</xdr:row>
      <xdr:rowOff>0</xdr:rowOff>
    </xdr:to>
    <xdr:pic>
      <xdr:nvPicPr>
        <xdr:cNvPr id="15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6441400"/>
          <a:ext cx="63627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37</xdr:row>
      <xdr:rowOff>95250</xdr:rowOff>
    </xdr:from>
    <xdr:to>
      <xdr:col>10</xdr:col>
      <xdr:colOff>19050</xdr:colOff>
      <xdr:row>40</xdr:row>
      <xdr:rowOff>95250</xdr:rowOff>
    </xdr:to>
    <xdr:sp>
      <xdr:nvSpPr>
        <xdr:cNvPr id="1" name="Line 17"/>
        <xdr:cNvSpPr>
          <a:spLocks/>
        </xdr:cNvSpPr>
      </xdr:nvSpPr>
      <xdr:spPr>
        <a:xfrm>
          <a:off x="6257925" y="6419850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40</xdr:row>
      <xdr:rowOff>114300</xdr:rowOff>
    </xdr:from>
    <xdr:to>
      <xdr:col>10</xdr:col>
      <xdr:colOff>0</xdr:colOff>
      <xdr:row>41</xdr:row>
      <xdr:rowOff>76200</xdr:rowOff>
    </xdr:to>
    <xdr:sp>
      <xdr:nvSpPr>
        <xdr:cNvPr id="2" name="Line 18"/>
        <xdr:cNvSpPr>
          <a:spLocks/>
        </xdr:cNvSpPr>
      </xdr:nvSpPr>
      <xdr:spPr>
        <a:xfrm flipV="1">
          <a:off x="6353175" y="6972300"/>
          <a:ext cx="6286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41</xdr:row>
      <xdr:rowOff>0</xdr:rowOff>
    </xdr:from>
    <xdr:to>
      <xdr:col>10</xdr:col>
      <xdr:colOff>0</xdr:colOff>
      <xdr:row>42</xdr:row>
      <xdr:rowOff>95250</xdr:rowOff>
    </xdr:to>
    <xdr:sp>
      <xdr:nvSpPr>
        <xdr:cNvPr id="3" name="Line 19"/>
        <xdr:cNvSpPr>
          <a:spLocks/>
        </xdr:cNvSpPr>
      </xdr:nvSpPr>
      <xdr:spPr>
        <a:xfrm flipV="1">
          <a:off x="6305550" y="7019925"/>
          <a:ext cx="676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37</xdr:row>
      <xdr:rowOff>123825</xdr:rowOff>
    </xdr:from>
    <xdr:to>
      <xdr:col>10</xdr:col>
      <xdr:colOff>361950</xdr:colOff>
      <xdr:row>39</xdr:row>
      <xdr:rowOff>76200</xdr:rowOff>
    </xdr:to>
    <xdr:sp>
      <xdr:nvSpPr>
        <xdr:cNvPr id="4" name="Line 20"/>
        <xdr:cNvSpPr>
          <a:spLocks/>
        </xdr:cNvSpPr>
      </xdr:nvSpPr>
      <xdr:spPr>
        <a:xfrm flipV="1">
          <a:off x="7343775" y="6448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53</xdr:row>
      <xdr:rowOff>114300</xdr:rowOff>
    </xdr:from>
    <xdr:to>
      <xdr:col>9</xdr:col>
      <xdr:colOff>571500</xdr:colOff>
      <xdr:row>55</xdr:row>
      <xdr:rowOff>123825</xdr:rowOff>
    </xdr:to>
    <xdr:sp>
      <xdr:nvSpPr>
        <xdr:cNvPr id="5" name="Line 21"/>
        <xdr:cNvSpPr>
          <a:spLocks/>
        </xdr:cNvSpPr>
      </xdr:nvSpPr>
      <xdr:spPr>
        <a:xfrm>
          <a:off x="6315075" y="9201150"/>
          <a:ext cx="628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56</xdr:row>
      <xdr:rowOff>66675</xdr:rowOff>
    </xdr:from>
    <xdr:to>
      <xdr:col>10</xdr:col>
      <xdr:colOff>19050</xdr:colOff>
      <xdr:row>57</xdr:row>
      <xdr:rowOff>95250</xdr:rowOff>
    </xdr:to>
    <xdr:sp>
      <xdr:nvSpPr>
        <xdr:cNvPr id="6" name="Line 22"/>
        <xdr:cNvSpPr>
          <a:spLocks/>
        </xdr:cNvSpPr>
      </xdr:nvSpPr>
      <xdr:spPr>
        <a:xfrm flipV="1">
          <a:off x="6276975" y="9686925"/>
          <a:ext cx="723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56</xdr:row>
      <xdr:rowOff>142875</xdr:rowOff>
    </xdr:from>
    <xdr:to>
      <xdr:col>10</xdr:col>
      <xdr:colOff>9525</xdr:colOff>
      <xdr:row>58</xdr:row>
      <xdr:rowOff>95250</xdr:rowOff>
    </xdr:to>
    <xdr:sp>
      <xdr:nvSpPr>
        <xdr:cNvPr id="7" name="Line 23"/>
        <xdr:cNvSpPr>
          <a:spLocks/>
        </xdr:cNvSpPr>
      </xdr:nvSpPr>
      <xdr:spPr>
        <a:xfrm flipV="1">
          <a:off x="6210300" y="9763125"/>
          <a:ext cx="781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53</xdr:row>
      <xdr:rowOff>171450</xdr:rowOff>
    </xdr:from>
    <xdr:to>
      <xdr:col>10</xdr:col>
      <xdr:colOff>333375</xdr:colOff>
      <xdr:row>55</xdr:row>
      <xdr:rowOff>57150</xdr:rowOff>
    </xdr:to>
    <xdr:sp>
      <xdr:nvSpPr>
        <xdr:cNvPr id="8" name="Line 24"/>
        <xdr:cNvSpPr>
          <a:spLocks/>
        </xdr:cNvSpPr>
      </xdr:nvSpPr>
      <xdr:spPr>
        <a:xfrm flipH="1" flipV="1">
          <a:off x="7315200" y="9258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70</xdr:row>
      <xdr:rowOff>114300</xdr:rowOff>
    </xdr:from>
    <xdr:to>
      <xdr:col>9</xdr:col>
      <xdr:colOff>571500</xdr:colOff>
      <xdr:row>72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315075" y="12125325"/>
          <a:ext cx="628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73</xdr:row>
      <xdr:rowOff>66675</xdr:rowOff>
    </xdr:from>
    <xdr:to>
      <xdr:col>10</xdr:col>
      <xdr:colOff>19050</xdr:colOff>
      <xdr:row>76</xdr:row>
      <xdr:rowOff>95250</xdr:rowOff>
    </xdr:to>
    <xdr:sp>
      <xdr:nvSpPr>
        <xdr:cNvPr id="10" name="Line 27"/>
        <xdr:cNvSpPr>
          <a:spLocks/>
        </xdr:cNvSpPr>
      </xdr:nvSpPr>
      <xdr:spPr>
        <a:xfrm flipV="1">
          <a:off x="6276975" y="12611100"/>
          <a:ext cx="723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73</xdr:row>
      <xdr:rowOff>142875</xdr:rowOff>
    </xdr:from>
    <xdr:to>
      <xdr:col>10</xdr:col>
      <xdr:colOff>9525</xdr:colOff>
      <xdr:row>77</xdr:row>
      <xdr:rowOff>95250</xdr:rowOff>
    </xdr:to>
    <xdr:sp>
      <xdr:nvSpPr>
        <xdr:cNvPr id="11" name="Line 28"/>
        <xdr:cNvSpPr>
          <a:spLocks/>
        </xdr:cNvSpPr>
      </xdr:nvSpPr>
      <xdr:spPr>
        <a:xfrm flipV="1">
          <a:off x="6210300" y="12687300"/>
          <a:ext cx="7810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70</xdr:row>
      <xdr:rowOff>171450</xdr:rowOff>
    </xdr:from>
    <xdr:to>
      <xdr:col>10</xdr:col>
      <xdr:colOff>333375</xdr:colOff>
      <xdr:row>72</xdr:row>
      <xdr:rowOff>57150</xdr:rowOff>
    </xdr:to>
    <xdr:sp>
      <xdr:nvSpPr>
        <xdr:cNvPr id="12" name="Line 29"/>
        <xdr:cNvSpPr>
          <a:spLocks/>
        </xdr:cNvSpPr>
      </xdr:nvSpPr>
      <xdr:spPr>
        <a:xfrm flipH="1" flipV="1">
          <a:off x="7315200" y="12182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89</xdr:row>
      <xdr:rowOff>114300</xdr:rowOff>
    </xdr:from>
    <xdr:to>
      <xdr:col>9</xdr:col>
      <xdr:colOff>571500</xdr:colOff>
      <xdr:row>91</xdr:row>
      <xdr:rowOff>123825</xdr:rowOff>
    </xdr:to>
    <xdr:sp>
      <xdr:nvSpPr>
        <xdr:cNvPr id="13" name="Line 33"/>
        <xdr:cNvSpPr>
          <a:spLocks/>
        </xdr:cNvSpPr>
      </xdr:nvSpPr>
      <xdr:spPr>
        <a:xfrm>
          <a:off x="6315075" y="15373350"/>
          <a:ext cx="628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92</xdr:row>
      <xdr:rowOff>66675</xdr:rowOff>
    </xdr:from>
    <xdr:to>
      <xdr:col>10</xdr:col>
      <xdr:colOff>19050</xdr:colOff>
      <xdr:row>95</xdr:row>
      <xdr:rowOff>95250</xdr:rowOff>
    </xdr:to>
    <xdr:sp>
      <xdr:nvSpPr>
        <xdr:cNvPr id="14" name="Line 34"/>
        <xdr:cNvSpPr>
          <a:spLocks/>
        </xdr:cNvSpPr>
      </xdr:nvSpPr>
      <xdr:spPr>
        <a:xfrm flipV="1">
          <a:off x="6276975" y="15859125"/>
          <a:ext cx="723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92</xdr:row>
      <xdr:rowOff>142875</xdr:rowOff>
    </xdr:from>
    <xdr:to>
      <xdr:col>10</xdr:col>
      <xdr:colOff>9525</xdr:colOff>
      <xdr:row>96</xdr:row>
      <xdr:rowOff>95250</xdr:rowOff>
    </xdr:to>
    <xdr:sp>
      <xdr:nvSpPr>
        <xdr:cNvPr id="15" name="Line 35"/>
        <xdr:cNvSpPr>
          <a:spLocks/>
        </xdr:cNvSpPr>
      </xdr:nvSpPr>
      <xdr:spPr>
        <a:xfrm flipV="1">
          <a:off x="6210300" y="15935325"/>
          <a:ext cx="7810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89</xdr:row>
      <xdr:rowOff>171450</xdr:rowOff>
    </xdr:from>
    <xdr:to>
      <xdr:col>10</xdr:col>
      <xdr:colOff>333375</xdr:colOff>
      <xdr:row>91</xdr:row>
      <xdr:rowOff>57150</xdr:rowOff>
    </xdr:to>
    <xdr:sp>
      <xdr:nvSpPr>
        <xdr:cNvPr id="16" name="Line 36"/>
        <xdr:cNvSpPr>
          <a:spLocks/>
        </xdr:cNvSpPr>
      </xdr:nvSpPr>
      <xdr:spPr>
        <a:xfrm flipH="1" flipV="1">
          <a:off x="7315200" y="15430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141</xdr:row>
      <xdr:rowOff>76200</xdr:rowOff>
    </xdr:from>
    <xdr:to>
      <xdr:col>10</xdr:col>
      <xdr:colOff>38100</xdr:colOff>
      <xdr:row>155</xdr:row>
      <xdr:rowOff>57150</xdr:rowOff>
    </xdr:to>
    <xdr:graphicFrame>
      <xdr:nvGraphicFramePr>
        <xdr:cNvPr id="17" name="Chart 42"/>
        <xdr:cNvGraphicFramePr/>
      </xdr:nvGraphicFramePr>
      <xdr:xfrm>
        <a:off x="628650" y="23936325"/>
        <a:ext cx="63912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733425</xdr:colOff>
      <xdr:row>199</xdr:row>
      <xdr:rowOff>95250</xdr:rowOff>
    </xdr:from>
    <xdr:to>
      <xdr:col>5</xdr:col>
      <xdr:colOff>95250</xdr:colOff>
      <xdr:row>200</xdr:row>
      <xdr:rowOff>47625</xdr:rowOff>
    </xdr:to>
    <xdr:sp>
      <xdr:nvSpPr>
        <xdr:cNvPr id="18" name="Line 43"/>
        <xdr:cNvSpPr>
          <a:spLocks/>
        </xdr:cNvSpPr>
      </xdr:nvSpPr>
      <xdr:spPr>
        <a:xfrm>
          <a:off x="1885950" y="33585150"/>
          <a:ext cx="1819275" cy="1333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203</xdr:row>
      <xdr:rowOff>104775</xdr:rowOff>
    </xdr:from>
    <xdr:to>
      <xdr:col>5</xdr:col>
      <xdr:colOff>9525</xdr:colOff>
      <xdr:row>204</xdr:row>
      <xdr:rowOff>38100</xdr:rowOff>
    </xdr:to>
    <xdr:sp>
      <xdr:nvSpPr>
        <xdr:cNvPr id="19" name="Line 44"/>
        <xdr:cNvSpPr>
          <a:spLocks/>
        </xdr:cNvSpPr>
      </xdr:nvSpPr>
      <xdr:spPr>
        <a:xfrm>
          <a:off x="1914525" y="34318575"/>
          <a:ext cx="1704975" cy="1143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161</xdr:row>
      <xdr:rowOff>95250</xdr:rowOff>
    </xdr:from>
    <xdr:to>
      <xdr:col>5</xdr:col>
      <xdr:colOff>95250</xdr:colOff>
      <xdr:row>162</xdr:row>
      <xdr:rowOff>47625</xdr:rowOff>
    </xdr:to>
    <xdr:sp>
      <xdr:nvSpPr>
        <xdr:cNvPr id="20" name="Line 45"/>
        <xdr:cNvSpPr>
          <a:spLocks/>
        </xdr:cNvSpPr>
      </xdr:nvSpPr>
      <xdr:spPr>
        <a:xfrm>
          <a:off x="1885950" y="27222450"/>
          <a:ext cx="1819275" cy="1333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165</xdr:row>
      <xdr:rowOff>104775</xdr:rowOff>
    </xdr:from>
    <xdr:to>
      <xdr:col>5</xdr:col>
      <xdr:colOff>9525</xdr:colOff>
      <xdr:row>166</xdr:row>
      <xdr:rowOff>38100</xdr:rowOff>
    </xdr:to>
    <xdr:sp>
      <xdr:nvSpPr>
        <xdr:cNvPr id="21" name="Line 46"/>
        <xdr:cNvSpPr>
          <a:spLocks/>
        </xdr:cNvSpPr>
      </xdr:nvSpPr>
      <xdr:spPr>
        <a:xfrm>
          <a:off x="1914525" y="27955875"/>
          <a:ext cx="1704975" cy="1143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179</xdr:row>
      <xdr:rowOff>123825</xdr:rowOff>
    </xdr:from>
    <xdr:to>
      <xdr:col>10</xdr:col>
      <xdr:colOff>171450</xdr:colOff>
      <xdr:row>193</xdr:row>
      <xdr:rowOff>76200</xdr:rowOff>
    </xdr:to>
    <xdr:graphicFrame>
      <xdr:nvGraphicFramePr>
        <xdr:cNvPr id="22" name="Chart 48"/>
        <xdr:cNvGraphicFramePr/>
      </xdr:nvGraphicFramePr>
      <xdr:xfrm>
        <a:off x="628650" y="30346650"/>
        <a:ext cx="65246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847725</xdr:colOff>
      <xdr:row>264</xdr:row>
      <xdr:rowOff>0</xdr:rowOff>
    </xdr:from>
    <xdr:to>
      <xdr:col>9</xdr:col>
      <xdr:colOff>19050</xdr:colOff>
      <xdr:row>268</xdr:row>
      <xdr:rowOff>9525</xdr:rowOff>
    </xdr:to>
    <xdr:sp>
      <xdr:nvSpPr>
        <xdr:cNvPr id="23" name="Line 52"/>
        <xdr:cNvSpPr>
          <a:spLocks/>
        </xdr:cNvSpPr>
      </xdr:nvSpPr>
      <xdr:spPr>
        <a:xfrm flipH="1">
          <a:off x="3505200" y="44234100"/>
          <a:ext cx="2886075" cy="6667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227</xdr:row>
      <xdr:rowOff>38100</xdr:rowOff>
    </xdr:from>
    <xdr:to>
      <xdr:col>7</xdr:col>
      <xdr:colOff>47625</xdr:colOff>
      <xdr:row>243</xdr:row>
      <xdr:rowOff>38100</xdr:rowOff>
    </xdr:to>
    <xdr:sp>
      <xdr:nvSpPr>
        <xdr:cNvPr id="24" name="Line 59"/>
        <xdr:cNvSpPr>
          <a:spLocks/>
        </xdr:cNvSpPr>
      </xdr:nvSpPr>
      <xdr:spPr>
        <a:xfrm flipH="1" flipV="1">
          <a:off x="2657475" y="38185725"/>
          <a:ext cx="2247900" cy="26193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542</xdr:row>
      <xdr:rowOff>66675</xdr:rowOff>
    </xdr:from>
    <xdr:to>
      <xdr:col>8</xdr:col>
      <xdr:colOff>38100</xdr:colOff>
      <xdr:row>542</xdr:row>
      <xdr:rowOff>66675</xdr:rowOff>
    </xdr:to>
    <xdr:sp>
      <xdr:nvSpPr>
        <xdr:cNvPr id="25" name="Line 116"/>
        <xdr:cNvSpPr>
          <a:spLocks/>
        </xdr:cNvSpPr>
      </xdr:nvSpPr>
      <xdr:spPr>
        <a:xfrm flipH="1">
          <a:off x="4562475" y="89639775"/>
          <a:ext cx="9525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57150</xdr:colOff>
      <xdr:row>265</xdr:row>
      <xdr:rowOff>76200</xdr:rowOff>
    </xdr:from>
    <xdr:to>
      <xdr:col>4</xdr:col>
      <xdr:colOff>895350</xdr:colOff>
      <xdr:row>274</xdr:row>
      <xdr:rowOff>76200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44481750"/>
          <a:ext cx="2343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268</xdr:row>
      <xdr:rowOff>104775</xdr:rowOff>
    </xdr:from>
    <xdr:to>
      <xdr:col>6</xdr:col>
      <xdr:colOff>142875</xdr:colOff>
      <xdr:row>269</xdr:row>
      <xdr:rowOff>76200</xdr:rowOff>
    </xdr:to>
    <xdr:sp>
      <xdr:nvSpPr>
        <xdr:cNvPr id="27" name="Line 118"/>
        <xdr:cNvSpPr>
          <a:spLocks/>
        </xdr:cNvSpPr>
      </xdr:nvSpPr>
      <xdr:spPr>
        <a:xfrm flipH="1">
          <a:off x="3562350" y="44996100"/>
          <a:ext cx="800100" cy="1333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workbookViewId="0" topLeftCell="A73">
      <selection activeCell="F75" sqref="F75"/>
    </sheetView>
  </sheetViews>
  <sheetFormatPr defaultColWidth="9.140625" defaultRowHeight="12.75" outlineLevelRow="1"/>
  <cols>
    <col min="2" max="2" width="9.00390625" style="0" customWidth="1"/>
    <col min="3" max="3" width="14.421875" style="0" customWidth="1"/>
    <col min="4" max="4" width="11.28125" style="0" customWidth="1"/>
    <col min="5" max="5" width="14.28125" style="0" bestFit="1" customWidth="1"/>
    <col min="6" max="6" width="10.7109375" style="0" bestFit="1" customWidth="1"/>
    <col min="7" max="7" width="9.57421875" style="0" customWidth="1"/>
    <col min="8" max="8" width="9.28125" style="0" bestFit="1" customWidth="1"/>
    <col min="9" max="9" width="13.421875" style="0" bestFit="1" customWidth="1"/>
    <col min="11" max="11" width="11.00390625" style="0" bestFit="1" customWidth="1"/>
    <col min="13" max="13" width="11.28125" style="0" bestFit="1" customWidth="1"/>
    <col min="28" max="28" width="11.7109375" style="0" bestFit="1" customWidth="1"/>
  </cols>
  <sheetData>
    <row r="1" ht="12.75">
      <c r="A1" t="s">
        <v>99</v>
      </c>
    </row>
    <row r="2" ht="12.75">
      <c r="A2" s="99" t="s">
        <v>98</v>
      </c>
    </row>
    <row r="3" ht="12.75">
      <c r="A3" s="99" t="s">
        <v>190</v>
      </c>
    </row>
    <row r="4" ht="12.75">
      <c r="A4" s="99"/>
    </row>
    <row r="5" ht="12.75">
      <c r="A5" t="s">
        <v>207</v>
      </c>
    </row>
    <row r="7" spans="1:4" ht="12.75">
      <c r="A7" s="231" t="s">
        <v>204</v>
      </c>
      <c r="B7" s="1" t="s">
        <v>109</v>
      </c>
      <c r="C7" s="231" t="s">
        <v>204</v>
      </c>
      <c r="D7" s="1" t="s">
        <v>167</v>
      </c>
    </row>
    <row r="8" spans="1:4" ht="12.75">
      <c r="A8" s="231" t="s">
        <v>204</v>
      </c>
      <c r="B8" s="1" t="s">
        <v>165</v>
      </c>
      <c r="C8" s="231" t="s">
        <v>204</v>
      </c>
      <c r="D8" s="1" t="s">
        <v>165</v>
      </c>
    </row>
    <row r="9" spans="1:4" ht="12.75">
      <c r="A9" s="231" t="s">
        <v>204</v>
      </c>
      <c r="B9" s="1" t="s">
        <v>202</v>
      </c>
      <c r="C9" s="231" t="s">
        <v>204</v>
      </c>
      <c r="D9" s="1" t="s">
        <v>203</v>
      </c>
    </row>
    <row r="10" spans="1:4" ht="12.75">
      <c r="A10" s="231" t="s">
        <v>204</v>
      </c>
      <c r="B10" s="1" t="s">
        <v>126</v>
      </c>
      <c r="C10" s="107"/>
      <c r="D10" s="107"/>
    </row>
    <row r="11" spans="1:4" ht="12.75">
      <c r="A11" s="231" t="s">
        <v>204</v>
      </c>
      <c r="B11" s="1" t="s">
        <v>128</v>
      </c>
      <c r="C11" s="107"/>
      <c r="D11" s="107"/>
    </row>
    <row r="12" spans="1:2" ht="12.75">
      <c r="A12" s="231" t="s">
        <v>204</v>
      </c>
      <c r="B12" s="230" t="s">
        <v>132</v>
      </c>
    </row>
    <row r="13" ht="12.75">
      <c r="A13" s="99"/>
    </row>
    <row r="14" ht="12.75">
      <c r="A14" t="s">
        <v>205</v>
      </c>
    </row>
    <row r="16" spans="1:9" ht="12.75">
      <c r="A16" s="36" t="s">
        <v>204</v>
      </c>
      <c r="B16" s="1" t="s">
        <v>109</v>
      </c>
      <c r="C16" s="231" t="s">
        <v>204</v>
      </c>
      <c r="D16" s="1" t="s">
        <v>167</v>
      </c>
      <c r="I16" s="126" t="s">
        <v>7</v>
      </c>
    </row>
    <row r="17" spans="1:9" ht="12.75">
      <c r="A17" s="36" t="s">
        <v>204</v>
      </c>
      <c r="B17" s="1" t="s">
        <v>165</v>
      </c>
      <c r="C17" s="231" t="s">
        <v>204</v>
      </c>
      <c r="D17" s="1" t="s">
        <v>165</v>
      </c>
      <c r="I17" s="126"/>
    </row>
    <row r="18" spans="1:4" ht="12.75">
      <c r="A18" t="s">
        <v>7</v>
      </c>
      <c r="B18" s="230" t="s">
        <v>202</v>
      </c>
      <c r="C18" s="1"/>
      <c r="D18" s="230" t="s">
        <v>203</v>
      </c>
    </row>
    <row r="19" spans="2:4" ht="12.75">
      <c r="B19" s="230" t="s">
        <v>126</v>
      </c>
      <c r="C19" s="1"/>
      <c r="D19" s="1"/>
    </row>
    <row r="20" spans="2:4" ht="12.75">
      <c r="B20" s="230" t="s">
        <v>128</v>
      </c>
      <c r="C20" s="1"/>
      <c r="D20" s="1"/>
    </row>
    <row r="21" spans="2:4" ht="12.75">
      <c r="B21" s="230" t="s">
        <v>132</v>
      </c>
      <c r="C21" s="1"/>
      <c r="D21" s="1"/>
    </row>
    <row r="23" ht="12.75">
      <c r="A23" t="s">
        <v>206</v>
      </c>
    </row>
    <row r="25" spans="1:4" ht="12.75">
      <c r="A25" s="36" t="s">
        <v>7</v>
      </c>
      <c r="B25" s="230" t="s">
        <v>109</v>
      </c>
      <c r="C25" s="36" t="s">
        <v>204</v>
      </c>
      <c r="D25" s="1" t="s">
        <v>167</v>
      </c>
    </row>
    <row r="26" spans="1:4" ht="12.75">
      <c r="A26" s="231" t="s">
        <v>204</v>
      </c>
      <c r="B26" s="1" t="s">
        <v>165</v>
      </c>
      <c r="C26" s="231" t="s">
        <v>204</v>
      </c>
      <c r="D26" s="1" t="s">
        <v>165</v>
      </c>
    </row>
    <row r="27" spans="2:4" ht="12.75">
      <c r="B27" s="230" t="s">
        <v>202</v>
      </c>
      <c r="C27" s="231" t="s">
        <v>204</v>
      </c>
      <c r="D27" s="1" t="s">
        <v>203</v>
      </c>
    </row>
    <row r="28" ht="12.75">
      <c r="B28" s="230" t="s">
        <v>126</v>
      </c>
    </row>
    <row r="29" ht="12.75">
      <c r="B29" s="230" t="s">
        <v>128</v>
      </c>
    </row>
    <row r="30" ht="12.75">
      <c r="B30" s="230" t="s">
        <v>132</v>
      </c>
    </row>
    <row r="31" ht="12.75">
      <c r="B31" s="230"/>
    </row>
    <row r="33" ht="12.75">
      <c r="A33" t="s">
        <v>2</v>
      </c>
    </row>
    <row r="34" ht="12.75">
      <c r="A34" t="s">
        <v>0</v>
      </c>
    </row>
    <row r="35" spans="1:9" ht="12.75">
      <c r="A35" t="s">
        <v>1</v>
      </c>
      <c r="I35" s="2" t="s">
        <v>7</v>
      </c>
    </row>
    <row r="36" ht="12.75">
      <c r="I36" s="2"/>
    </row>
    <row r="37" spans="1:9" ht="12.75">
      <c r="A37" t="s">
        <v>107</v>
      </c>
      <c r="I37" s="2"/>
    </row>
    <row r="38" ht="13.5" thickBot="1">
      <c r="I38" s="2"/>
    </row>
    <row r="39" spans="2:9" ht="13.5" thickTop="1">
      <c r="B39" s="79" t="s">
        <v>55</v>
      </c>
      <c r="C39" s="121" t="s">
        <v>168</v>
      </c>
      <c r="D39" s="18" t="s">
        <v>7</v>
      </c>
      <c r="E39" s="131">
        <v>0</v>
      </c>
      <c r="F39" s="175">
        <v>0.1</v>
      </c>
      <c r="G39" s="197">
        <f>F39</f>
        <v>0.1</v>
      </c>
      <c r="H39" s="181" t="s">
        <v>169</v>
      </c>
      <c r="I39" s="2"/>
    </row>
    <row r="40" spans="2:10" ht="12.75">
      <c r="B40" s="79"/>
      <c r="C40" s="122">
        <v>1</v>
      </c>
      <c r="D40" s="19" t="s">
        <v>5</v>
      </c>
      <c r="E40" s="124" t="s">
        <v>8</v>
      </c>
      <c r="F40" s="144" t="s">
        <v>16</v>
      </c>
      <c r="G40" s="199" t="s">
        <v>108</v>
      </c>
      <c r="H40" s="206"/>
      <c r="I40" s="207" t="e">
        <f>IRR(D42:D48)</f>
        <v>#NUM!</v>
      </c>
      <c r="J40" s="208" t="s">
        <v>191</v>
      </c>
    </row>
    <row r="41" spans="3:10" ht="13.5" thickBot="1">
      <c r="C41" s="123" t="s">
        <v>118</v>
      </c>
      <c r="D41" s="20" t="s">
        <v>6</v>
      </c>
      <c r="E41" s="125" t="s">
        <v>115</v>
      </c>
      <c r="F41" s="145" t="s">
        <v>17</v>
      </c>
      <c r="G41" s="200" t="s">
        <v>17</v>
      </c>
      <c r="H41" s="206"/>
      <c r="I41" s="2" t="s">
        <v>110</v>
      </c>
      <c r="J41" s="208" t="s">
        <v>192</v>
      </c>
    </row>
    <row r="42" spans="3:10" ht="14.25" thickBot="1" thickTop="1">
      <c r="C42" s="18">
        <v>0</v>
      </c>
      <c r="D42" s="23">
        <v>0</v>
      </c>
      <c r="E42" s="15">
        <f>D42</f>
        <v>0</v>
      </c>
      <c r="F42" s="215">
        <f>D42+NPV(F$39/C$40,D43:D$48)</f>
        <v>16528.925619834707</v>
      </c>
      <c r="G42" s="120">
        <f>D42</f>
        <v>0</v>
      </c>
      <c r="H42" s="206"/>
      <c r="I42" s="2" t="s">
        <v>110</v>
      </c>
      <c r="J42" s="208" t="s">
        <v>193</v>
      </c>
    </row>
    <row r="43" spans="2:10" ht="13.5" thickTop="1">
      <c r="B43" s="2" t="s">
        <v>172</v>
      </c>
      <c r="C43" s="19">
        <v>1</v>
      </c>
      <c r="D43" s="24">
        <v>0</v>
      </c>
      <c r="E43" s="16">
        <f aca="true" t="shared" si="0" ref="E43:E48">E42+D43</f>
        <v>0</v>
      </c>
      <c r="F43" s="128">
        <f>D43+NPV(F$39/C$40,D44:D$48)</f>
        <v>18181.81818181818</v>
      </c>
      <c r="G43" s="129">
        <f aca="true" t="shared" si="1" ref="G43:G48">D43+G42*(1+G$39/C$40)</f>
        <v>0</v>
      </c>
      <c r="H43" s="18" t="s">
        <v>165</v>
      </c>
      <c r="I43" s="2" t="s">
        <v>110</v>
      </c>
      <c r="J43" s="208" t="s">
        <v>194</v>
      </c>
    </row>
    <row r="44" spans="2:10" ht="13.5" thickBot="1">
      <c r="B44" s="2" t="s">
        <v>173</v>
      </c>
      <c r="C44" s="19">
        <v>2</v>
      </c>
      <c r="D44" s="24">
        <v>0</v>
      </c>
      <c r="E44" s="16">
        <f t="shared" si="0"/>
        <v>0</v>
      </c>
      <c r="F44" s="128">
        <f>D44+NPV(F$39/C$40,D45:D$48)</f>
        <v>20000</v>
      </c>
      <c r="G44" s="129">
        <f t="shared" si="1"/>
        <v>0</v>
      </c>
      <c r="H44" s="20" t="s">
        <v>166</v>
      </c>
      <c r="I44" s="215">
        <f>D42+NPV(F39/C40,D43:D48)</f>
        <v>16528.925619834707</v>
      </c>
      <c r="J44" s="181" t="s">
        <v>195</v>
      </c>
    </row>
    <row r="45" spans="2:10" ht="13.5" thickTop="1">
      <c r="B45" s="2" t="s">
        <v>174</v>
      </c>
      <c r="C45" s="19">
        <v>3</v>
      </c>
      <c r="D45" s="24">
        <v>22000</v>
      </c>
      <c r="E45" s="16">
        <f t="shared" si="0"/>
        <v>22000</v>
      </c>
      <c r="F45" s="128">
        <f>D45+NPV(F$39/C$40,D46:D$48)</f>
        <v>22000</v>
      </c>
      <c r="G45" s="129">
        <f t="shared" si="1"/>
        <v>22000</v>
      </c>
      <c r="H45" s="211">
        <f>FV(F$39/C$40,C45-C$42,0,-$F$42)</f>
        <v>22000</v>
      </c>
      <c r="I45" s="218">
        <f>FV(F39/C40,C48,,-I44)</f>
        <v>29282.000000000007</v>
      </c>
      <c r="J45" s="198" t="s">
        <v>196</v>
      </c>
    </row>
    <row r="46" spans="2:10" ht="12.75">
      <c r="B46" s="2" t="s">
        <v>175</v>
      </c>
      <c r="C46" s="19">
        <v>4</v>
      </c>
      <c r="D46" s="24">
        <v>0</v>
      </c>
      <c r="E46" s="16">
        <f t="shared" si="0"/>
        <v>22000</v>
      </c>
      <c r="F46" s="128">
        <f>D46+NPV(F$39/C$40,D47:D$48)</f>
        <v>0</v>
      </c>
      <c r="G46" s="129">
        <f t="shared" si="1"/>
        <v>24200.000000000004</v>
      </c>
      <c r="H46" s="212">
        <f>FV(F$39/C$40,C46-C$42,0,-$F$42)</f>
        <v>24200</v>
      </c>
      <c r="I46" s="2" t="s">
        <v>110</v>
      </c>
      <c r="J46" s="208" t="s">
        <v>197</v>
      </c>
    </row>
    <row r="47" spans="2:9" ht="12.75">
      <c r="B47" s="2" t="s">
        <v>176</v>
      </c>
      <c r="C47" s="19">
        <v>5</v>
      </c>
      <c r="D47" s="24">
        <v>0</v>
      </c>
      <c r="E47" s="16">
        <f t="shared" si="0"/>
        <v>22000</v>
      </c>
      <c r="F47" s="128">
        <f>D47+NPV(F$39/C$40,D48:D$48)</f>
        <v>0</v>
      </c>
      <c r="G47" s="129">
        <f t="shared" si="1"/>
        <v>26620.000000000007</v>
      </c>
      <c r="H47" s="212">
        <f>FV(F$39/C$40,C47-C$42,0,-$F$42)</f>
        <v>26620.000000000004</v>
      </c>
      <c r="I47" s="2"/>
    </row>
    <row r="48" spans="2:9" ht="13.5" thickBot="1">
      <c r="B48" s="2" t="s">
        <v>177</v>
      </c>
      <c r="C48" s="20">
        <v>6</v>
      </c>
      <c r="D48" s="25">
        <v>0</v>
      </c>
      <c r="E48" s="17">
        <f t="shared" si="0"/>
        <v>22000</v>
      </c>
      <c r="F48" s="130">
        <f>D48+NPV(F$39/C$40,D$48:D49)</f>
        <v>0</v>
      </c>
      <c r="G48" s="217">
        <f t="shared" si="1"/>
        <v>29282.00000000001</v>
      </c>
      <c r="H48" s="236">
        <f>FV(F$39/C$40,C48-C$42,0,-$F$42)</f>
        <v>29282.000000000007</v>
      </c>
      <c r="I48" s="2"/>
    </row>
    <row r="49" spans="5:9" ht="14.25" thickBot="1" thickTop="1">
      <c r="E49" s="2"/>
      <c r="I49" s="2"/>
    </row>
    <row r="50" spans="2:9" ht="13.5" thickTop="1">
      <c r="B50" s="79" t="s">
        <v>64</v>
      </c>
      <c r="C50" s="121" t="s">
        <v>168</v>
      </c>
      <c r="D50" s="18" t="s">
        <v>7</v>
      </c>
      <c r="E50" s="131">
        <v>0</v>
      </c>
      <c r="F50" s="204">
        <v>0.1</v>
      </c>
      <c r="G50" s="201">
        <f>F50</f>
        <v>0.1</v>
      </c>
      <c r="H50" s="181" t="s">
        <v>169</v>
      </c>
      <c r="I50" s="2"/>
    </row>
    <row r="51" spans="2:10" ht="12.75">
      <c r="B51" s="79"/>
      <c r="C51" s="122">
        <v>4</v>
      </c>
      <c r="D51" s="19" t="s">
        <v>5</v>
      </c>
      <c r="E51" s="124" t="s">
        <v>8</v>
      </c>
      <c r="F51" s="59" t="s">
        <v>16</v>
      </c>
      <c r="G51" s="202" t="s">
        <v>108</v>
      </c>
      <c r="H51" s="206"/>
      <c r="I51" s="207" t="e">
        <f>IRR(D53:D59)</f>
        <v>#NUM!</v>
      </c>
      <c r="J51" s="208" t="s">
        <v>191</v>
      </c>
    </row>
    <row r="52" spans="3:10" ht="13.5" thickBot="1">
      <c r="C52" s="123" t="s">
        <v>117</v>
      </c>
      <c r="D52" s="20" t="s">
        <v>6</v>
      </c>
      <c r="E52" s="125" t="s">
        <v>115</v>
      </c>
      <c r="F52" s="205" t="s">
        <v>17</v>
      </c>
      <c r="G52" s="203" t="s">
        <v>17</v>
      </c>
      <c r="H52" s="206"/>
      <c r="I52" s="2" t="s">
        <v>110</v>
      </c>
      <c r="J52" s="208" t="s">
        <v>192</v>
      </c>
    </row>
    <row r="53" spans="3:10" ht="14.25" thickBot="1" thickTop="1">
      <c r="C53" s="18">
        <v>0</v>
      </c>
      <c r="D53" s="23">
        <v>0</v>
      </c>
      <c r="E53" s="15">
        <f>D53</f>
        <v>0</v>
      </c>
      <c r="F53" s="215">
        <f>D53+NPV(F$50/C$51,D54:D$59)</f>
        <v>20429.187040234476</v>
      </c>
      <c r="G53" s="120">
        <f>D53</f>
        <v>0</v>
      </c>
      <c r="H53" s="206"/>
      <c r="I53" s="2" t="s">
        <v>110</v>
      </c>
      <c r="J53" s="208" t="s">
        <v>193</v>
      </c>
    </row>
    <row r="54" spans="2:10" ht="13.5" thickTop="1">
      <c r="B54" t="s">
        <v>178</v>
      </c>
      <c r="C54" s="19">
        <v>1</v>
      </c>
      <c r="D54" s="24">
        <v>0</v>
      </c>
      <c r="E54" s="16">
        <f aca="true" t="shared" si="2" ref="E54:E59">E53+D54</f>
        <v>0</v>
      </c>
      <c r="F54" s="128">
        <f>D54+NPV(F$50/C$51,D55:D$59)</f>
        <v>20939.916716240336</v>
      </c>
      <c r="G54" s="129">
        <f aca="true" t="shared" si="3" ref="G54:G59">D54+G53*(1+G$50/C$51)</f>
        <v>0</v>
      </c>
      <c r="H54" s="18" t="s">
        <v>165</v>
      </c>
      <c r="I54" s="2" t="s">
        <v>110</v>
      </c>
      <c r="J54" s="208" t="s">
        <v>194</v>
      </c>
    </row>
    <row r="55" spans="2:10" ht="13.5" thickBot="1">
      <c r="B55" t="s">
        <v>179</v>
      </c>
      <c r="C55" s="19">
        <v>2</v>
      </c>
      <c r="D55" s="24">
        <v>0</v>
      </c>
      <c r="E55" s="16">
        <f t="shared" si="2"/>
        <v>0</v>
      </c>
      <c r="F55" s="128">
        <f>D55+NPV(F$50/C$51,D56:D$59)</f>
        <v>21463.414634146342</v>
      </c>
      <c r="G55" s="129">
        <f t="shared" si="3"/>
        <v>0</v>
      </c>
      <c r="H55" s="20" t="s">
        <v>166</v>
      </c>
      <c r="I55" s="215">
        <f>D53+NPV(F50/C51,D54:D59)</f>
        <v>20429.187040234476</v>
      </c>
      <c r="J55" s="181" t="s">
        <v>195</v>
      </c>
    </row>
    <row r="56" spans="2:10" ht="13.5" thickTop="1">
      <c r="B56" t="s">
        <v>180</v>
      </c>
      <c r="C56" s="19">
        <v>3</v>
      </c>
      <c r="D56" s="24">
        <v>22000</v>
      </c>
      <c r="E56" s="16">
        <f t="shared" si="2"/>
        <v>22000</v>
      </c>
      <c r="F56" s="128">
        <f>D56+NPV(F$50/C$51,D57:D$59)</f>
        <v>22000</v>
      </c>
      <c r="G56" s="129">
        <f t="shared" si="3"/>
        <v>22000</v>
      </c>
      <c r="H56" s="211">
        <f>FV(F$50/C$51,C56-C$53,0,-$F$53)</f>
        <v>22000.000000000004</v>
      </c>
      <c r="I56" s="218">
        <f>FV(F50/C51,C59,,-I55)</f>
        <v>23691.593749999996</v>
      </c>
      <c r="J56" s="198" t="s">
        <v>196</v>
      </c>
    </row>
    <row r="57" spans="2:10" ht="12.75">
      <c r="B57" t="s">
        <v>181</v>
      </c>
      <c r="C57" s="19">
        <v>4</v>
      </c>
      <c r="D57" s="24">
        <v>0</v>
      </c>
      <c r="E57" s="16">
        <f t="shared" si="2"/>
        <v>22000</v>
      </c>
      <c r="F57" s="128">
        <f>D57+NPV(F$50/C$51,D58:D$59)</f>
        <v>0</v>
      </c>
      <c r="G57" s="129">
        <f t="shared" si="3"/>
        <v>22549.999999999996</v>
      </c>
      <c r="H57" s="212">
        <f>FV(F$50/C$51,C57-C$53,0,-$F$53)</f>
        <v>22550</v>
      </c>
      <c r="I57" s="2" t="s">
        <v>110</v>
      </c>
      <c r="J57" s="208" t="s">
        <v>197</v>
      </c>
    </row>
    <row r="58" spans="2:9" ht="12.75">
      <c r="B58" t="s">
        <v>182</v>
      </c>
      <c r="C58" s="19">
        <v>5</v>
      </c>
      <c r="D58" s="24">
        <v>0</v>
      </c>
      <c r="E58" s="16">
        <f t="shared" si="2"/>
        <v>22000</v>
      </c>
      <c r="F58" s="128">
        <f>D58+NPV(F$50/C$51,D59:D$59)</f>
        <v>0</v>
      </c>
      <c r="G58" s="129">
        <f t="shared" si="3"/>
        <v>23113.749999999993</v>
      </c>
      <c r="H58" s="212">
        <f>FV(F$50/C$51,C58-C$53,0,-$F$53)</f>
        <v>23113.749999999996</v>
      </c>
      <c r="I58" s="2"/>
    </row>
    <row r="59" spans="2:9" ht="13.5" thickBot="1">
      <c r="B59" t="s">
        <v>183</v>
      </c>
      <c r="C59" s="20">
        <v>6</v>
      </c>
      <c r="D59" s="25">
        <v>0</v>
      </c>
      <c r="E59" s="17">
        <f t="shared" si="2"/>
        <v>22000</v>
      </c>
      <c r="F59" s="130">
        <f>D59+NPV(F$50/C$51,D$59:D60)</f>
        <v>0</v>
      </c>
      <c r="G59" s="217">
        <f t="shared" si="3"/>
        <v>23691.59374999999</v>
      </c>
      <c r="H59" s="236">
        <f>FV(F$50/C$51,C59-C$53,0,-$F$53)</f>
        <v>23691.593749999996</v>
      </c>
      <c r="I59" s="2"/>
    </row>
    <row r="60" spans="5:9" ht="14.25" thickBot="1" thickTop="1">
      <c r="E60" s="2"/>
      <c r="G60" t="s">
        <v>7</v>
      </c>
      <c r="I60" s="2"/>
    </row>
    <row r="61" spans="2:9" ht="14.25" thickBot="1" thickTop="1">
      <c r="B61" s="79" t="s">
        <v>66</v>
      </c>
      <c r="C61" s="121" t="s">
        <v>168</v>
      </c>
      <c r="D61" s="18" t="s">
        <v>7</v>
      </c>
      <c r="E61" s="131">
        <v>0</v>
      </c>
      <c r="F61" s="204">
        <v>0.1</v>
      </c>
      <c r="G61" s="201">
        <f>F61</f>
        <v>0.1</v>
      </c>
      <c r="H61" s="181" t="s">
        <v>169</v>
      </c>
      <c r="I61" s="2"/>
    </row>
    <row r="62" spans="2:10" ht="13.5" thickTop="1">
      <c r="B62" s="79"/>
      <c r="C62" s="122">
        <v>12</v>
      </c>
      <c r="D62" s="19" t="s">
        <v>5</v>
      </c>
      <c r="E62" s="124" t="s">
        <v>8</v>
      </c>
      <c r="F62" s="59" t="s">
        <v>16</v>
      </c>
      <c r="G62" s="202" t="s">
        <v>108</v>
      </c>
      <c r="H62" s="209" t="s">
        <v>165</v>
      </c>
      <c r="I62" s="207" t="e">
        <f>IRR(D64:D70)</f>
        <v>#NUM!</v>
      </c>
      <c r="J62" s="208" t="s">
        <v>191</v>
      </c>
    </row>
    <row r="63" spans="3:10" ht="13.5" thickBot="1">
      <c r="C63" s="123" t="s">
        <v>10</v>
      </c>
      <c r="D63" s="20" t="s">
        <v>6</v>
      </c>
      <c r="E63" s="125" t="s">
        <v>115</v>
      </c>
      <c r="F63" s="205" t="s">
        <v>17</v>
      </c>
      <c r="G63" s="203" t="s">
        <v>17</v>
      </c>
      <c r="H63" s="210" t="s">
        <v>166</v>
      </c>
      <c r="I63" s="2" t="s">
        <v>110</v>
      </c>
      <c r="J63" s="208" t="s">
        <v>192</v>
      </c>
    </row>
    <row r="64" spans="3:10" ht="13.5" thickTop="1">
      <c r="C64" s="18">
        <v>0</v>
      </c>
      <c r="D64" s="23">
        <v>22000</v>
      </c>
      <c r="E64" s="15">
        <f>D64</f>
        <v>22000</v>
      </c>
      <c r="F64" s="215">
        <f>D64+NPV(F$61/C$62,D65:D$70)</f>
        <v>65277.22274310622</v>
      </c>
      <c r="G64" s="120">
        <f>D64</f>
        <v>22000</v>
      </c>
      <c r="H64" s="235">
        <f aca="true" t="shared" si="4" ref="H64:H70">FV(F$61/C$62,C64-C$64,0,-$F$64)</f>
        <v>65277.22274310622</v>
      </c>
      <c r="I64" s="2" t="s">
        <v>110</v>
      </c>
      <c r="J64" s="208" t="s">
        <v>193</v>
      </c>
    </row>
    <row r="65" spans="2:10" ht="12.75">
      <c r="B65" t="s">
        <v>184</v>
      </c>
      <c r="C65" s="19">
        <v>1</v>
      </c>
      <c r="D65" s="24">
        <v>22000</v>
      </c>
      <c r="E65" s="16">
        <f aca="true" t="shared" si="5" ref="E65:E70">E64+D65</f>
        <v>44000</v>
      </c>
      <c r="F65" s="128">
        <f>D65+NPV(F$61/C$62,D66:D$70)</f>
        <v>43637.86626596544</v>
      </c>
      <c r="G65" s="129">
        <f aca="true" t="shared" si="6" ref="G65:G70">D65+G64*(1+G$61/C$62)</f>
        <v>44183.33333333333</v>
      </c>
      <c r="H65" s="234">
        <f t="shared" si="4"/>
        <v>65821.19959929876</v>
      </c>
      <c r="I65" s="2" t="s">
        <v>110</v>
      </c>
      <c r="J65" s="208" t="s">
        <v>194</v>
      </c>
    </row>
    <row r="66" spans="2:10" ht="12.75">
      <c r="B66" t="s">
        <v>185</v>
      </c>
      <c r="C66" s="19">
        <v>2</v>
      </c>
      <c r="D66" s="24">
        <v>0</v>
      </c>
      <c r="E66" s="16">
        <f t="shared" si="5"/>
        <v>44000</v>
      </c>
      <c r="F66" s="128">
        <f>D66+NPV(F$61/C$62,D67:D$70)</f>
        <v>21818.18181818182</v>
      </c>
      <c r="G66" s="129">
        <f t="shared" si="6"/>
        <v>44551.527777777774</v>
      </c>
      <c r="H66" s="234">
        <f t="shared" si="4"/>
        <v>66369.70959595959</v>
      </c>
      <c r="I66" s="215">
        <f>E64+NPV(F61/C62,D65:D70)</f>
        <v>65277.22274310622</v>
      </c>
      <c r="J66" s="181" t="s">
        <v>195</v>
      </c>
    </row>
    <row r="67" spans="2:10" ht="12.75">
      <c r="B67" t="s">
        <v>186</v>
      </c>
      <c r="C67" s="19">
        <v>3</v>
      </c>
      <c r="D67" s="24">
        <v>22000</v>
      </c>
      <c r="E67" s="16">
        <f t="shared" si="5"/>
        <v>66000</v>
      </c>
      <c r="F67" s="128">
        <f>D67+NPV(F$61/C$62,D68:D$70)</f>
        <v>22000</v>
      </c>
      <c r="G67" s="129">
        <f t="shared" si="6"/>
        <v>66922.79050925926</v>
      </c>
      <c r="H67" s="212">
        <f t="shared" si="4"/>
        <v>66922.79050925926</v>
      </c>
      <c r="I67" s="218">
        <f>FV(F61/C62,C70,,-I66)</f>
        <v>68609.84124848022</v>
      </c>
      <c r="J67" s="198" t="s">
        <v>196</v>
      </c>
    </row>
    <row r="68" spans="2:10" ht="12.75">
      <c r="B68" t="s">
        <v>187</v>
      </c>
      <c r="C68" s="19">
        <v>4</v>
      </c>
      <c r="D68" s="24">
        <v>0</v>
      </c>
      <c r="E68" s="16">
        <f t="shared" si="5"/>
        <v>66000</v>
      </c>
      <c r="F68" s="128">
        <f>D68+NPV(F$61/C$62,D69:D$70)</f>
        <v>0</v>
      </c>
      <c r="G68" s="129">
        <f t="shared" si="6"/>
        <v>67480.48043016974</v>
      </c>
      <c r="H68" s="212">
        <f t="shared" si="4"/>
        <v>67480.48043016974</v>
      </c>
      <c r="I68" s="2" t="s">
        <v>110</v>
      </c>
      <c r="J68" s="208" t="s">
        <v>197</v>
      </c>
    </row>
    <row r="69" spans="2:10" ht="12.75">
      <c r="B69" t="s">
        <v>188</v>
      </c>
      <c r="C69" s="19">
        <v>5</v>
      </c>
      <c r="D69" s="24">
        <v>0</v>
      </c>
      <c r="E69" s="16">
        <f t="shared" si="5"/>
        <v>66000</v>
      </c>
      <c r="F69" s="128">
        <f>D69+NPV(F$61/C$62,D70:D$70)</f>
        <v>0</v>
      </c>
      <c r="G69" s="129">
        <f t="shared" si="6"/>
        <v>68042.81776708782</v>
      </c>
      <c r="H69" s="212">
        <f t="shared" si="4"/>
        <v>68042.81776708782</v>
      </c>
      <c r="I69" s="2" t="s">
        <v>110</v>
      </c>
      <c r="J69" s="1" t="s">
        <v>122</v>
      </c>
    </row>
    <row r="70" spans="2:9" ht="13.5" thickBot="1">
      <c r="B70" t="s">
        <v>189</v>
      </c>
      <c r="C70" s="20">
        <v>6</v>
      </c>
      <c r="D70" s="25">
        <v>0</v>
      </c>
      <c r="E70" s="17">
        <f t="shared" si="5"/>
        <v>66000</v>
      </c>
      <c r="F70" s="130">
        <f>D70+NPV(F$61/C$62,D$70:D71)</f>
        <v>0</v>
      </c>
      <c r="G70" s="217">
        <f t="shared" si="6"/>
        <v>68609.84124848022</v>
      </c>
      <c r="H70" s="236">
        <f t="shared" si="4"/>
        <v>68609.84124848022</v>
      </c>
      <c r="I70" s="2"/>
    </row>
    <row r="71" spans="5:9" ht="14.25" thickBot="1" thickTop="1">
      <c r="E71" s="2"/>
      <c r="I71" s="2"/>
    </row>
    <row r="72" spans="2:9" ht="13.5" thickTop="1">
      <c r="B72" s="79" t="s">
        <v>67</v>
      </c>
      <c r="C72" s="121" t="s">
        <v>168</v>
      </c>
      <c r="D72" s="18" t="s">
        <v>7</v>
      </c>
      <c r="E72" s="131">
        <v>0</v>
      </c>
      <c r="F72" s="175">
        <v>0.1</v>
      </c>
      <c r="G72" s="201">
        <f>F72</f>
        <v>0.1</v>
      </c>
      <c r="H72" s="85" t="s">
        <v>7</v>
      </c>
      <c r="I72" s="2"/>
    </row>
    <row r="73" spans="2:10" ht="12.75">
      <c r="B73" s="79"/>
      <c r="C73" s="122">
        <v>1</v>
      </c>
      <c r="D73" s="19" t="s">
        <v>5</v>
      </c>
      <c r="E73" s="124" t="s">
        <v>8</v>
      </c>
      <c r="F73" s="144" t="s">
        <v>201</v>
      </c>
      <c r="G73" s="202" t="s">
        <v>108</v>
      </c>
      <c r="H73" s="232" t="s">
        <v>208</v>
      </c>
      <c r="I73" s="219">
        <f>IRR(D75:D81)</f>
        <v>0.11217814328824598</v>
      </c>
      <c r="J73" s="208" t="s">
        <v>191</v>
      </c>
    </row>
    <row r="74" spans="3:10" ht="13.5" thickBot="1">
      <c r="C74" s="123" t="s">
        <v>118</v>
      </c>
      <c r="D74" s="20" t="s">
        <v>6</v>
      </c>
      <c r="E74" s="125" t="s">
        <v>115</v>
      </c>
      <c r="F74" s="145" t="s">
        <v>34</v>
      </c>
      <c r="G74" s="203" t="s">
        <v>17</v>
      </c>
      <c r="I74" s="2" t="s">
        <v>110</v>
      </c>
      <c r="J74" s="208" t="s">
        <v>192</v>
      </c>
    </row>
    <row r="75" spans="3:13" ht="13.5" thickTop="1">
      <c r="C75" s="18">
        <v>0</v>
      </c>
      <c r="D75" s="23">
        <v>-40000</v>
      </c>
      <c r="E75" s="15">
        <f>D75</f>
        <v>-40000</v>
      </c>
      <c r="F75" s="141">
        <f>D75+NPV(F$72/C$73,D76:D$81)</f>
        <v>1044.7170602649203</v>
      </c>
      <c r="G75" s="120"/>
      <c r="I75" s="2" t="s">
        <v>110</v>
      </c>
      <c r="J75" s="208" t="s">
        <v>193</v>
      </c>
      <c r="L75" s="136">
        <f>F75</f>
        <v>1044.7170602649203</v>
      </c>
      <c r="M75" s="40" t="s">
        <v>120</v>
      </c>
    </row>
    <row r="76" spans="2:13" ht="12.75">
      <c r="B76" s="2" t="s">
        <v>172</v>
      </c>
      <c r="C76" s="19">
        <v>1</v>
      </c>
      <c r="D76" s="24">
        <v>22000</v>
      </c>
      <c r="E76" s="16">
        <f aca="true" t="shared" si="7" ref="E76:E81">E75+D76</f>
        <v>-18000</v>
      </c>
      <c r="F76" s="132"/>
      <c r="G76" s="129"/>
      <c r="I76" s="2" t="s">
        <v>110</v>
      </c>
      <c r="J76" s="208" t="s">
        <v>194</v>
      </c>
      <c r="L76" s="135">
        <f>ABS(($F$75-$D$75)/$D$75)</f>
        <v>1.026117926506623</v>
      </c>
      <c r="M76" s="40" t="s">
        <v>122</v>
      </c>
    </row>
    <row r="77" spans="2:10" ht="12.75">
      <c r="B77" s="2" t="s">
        <v>173</v>
      </c>
      <c r="C77" s="19">
        <v>2</v>
      </c>
      <c r="D77" s="24">
        <v>0</v>
      </c>
      <c r="E77" s="16">
        <f t="shared" si="7"/>
        <v>-18000</v>
      </c>
      <c r="F77" s="132"/>
      <c r="G77" s="129"/>
      <c r="I77" s="215">
        <f>E75+NPV(F72/C73,D76:D81)</f>
        <v>1044.7170602649203</v>
      </c>
      <c r="J77" s="181" t="s">
        <v>195</v>
      </c>
    </row>
    <row r="78" spans="2:13" ht="12.75">
      <c r="B78" s="2" t="s">
        <v>174</v>
      </c>
      <c r="C78" s="19">
        <v>3</v>
      </c>
      <c r="D78" s="24">
        <v>22000</v>
      </c>
      <c r="E78" s="16">
        <f t="shared" si="7"/>
        <v>4000</v>
      </c>
      <c r="F78" s="132"/>
      <c r="G78" s="129"/>
      <c r="I78" s="218">
        <f>FV(F72/C73,C81,,-I77)</f>
        <v>1850.7799999999834</v>
      </c>
      <c r="J78" s="198" t="s">
        <v>196</v>
      </c>
      <c r="L78" s="134">
        <f>$C$78-($E$78/$D$78)</f>
        <v>2.8181818181818183</v>
      </c>
      <c r="M78" s="40" t="s">
        <v>121</v>
      </c>
    </row>
    <row r="79" spans="2:10" ht="12.75">
      <c r="B79" s="2" t="s">
        <v>175</v>
      </c>
      <c r="C79" s="19">
        <v>4</v>
      </c>
      <c r="D79" s="24">
        <v>0</v>
      </c>
      <c r="E79" s="16">
        <f t="shared" si="7"/>
        <v>4000</v>
      </c>
      <c r="F79" s="132"/>
      <c r="G79" s="129"/>
      <c r="I79" s="21">
        <f>(C78-(E78/D78))/C84</f>
        <v>2.8181818181818183</v>
      </c>
      <c r="J79" s="208" t="s">
        <v>197</v>
      </c>
    </row>
    <row r="80" spans="2:10" ht="12.75">
      <c r="B80" s="2" t="s">
        <v>176</v>
      </c>
      <c r="C80" s="19">
        <v>5</v>
      </c>
      <c r="D80" s="24">
        <v>0</v>
      </c>
      <c r="E80" s="16">
        <f t="shared" si="7"/>
        <v>4000</v>
      </c>
      <c r="F80" s="132"/>
      <c r="G80" s="129"/>
      <c r="I80" s="220">
        <f>ABS((F75-D75)/D75)</f>
        <v>1.026117926506623</v>
      </c>
      <c r="J80" s="1" t="s">
        <v>122</v>
      </c>
    </row>
    <row r="81" spans="2:9" ht="13.5" thickBot="1">
      <c r="B81" s="2" t="s">
        <v>177</v>
      </c>
      <c r="C81" s="20">
        <v>6</v>
      </c>
      <c r="D81" s="25">
        <v>8000</v>
      </c>
      <c r="E81" s="17">
        <f t="shared" si="7"/>
        <v>12000</v>
      </c>
      <c r="F81" s="133"/>
      <c r="G81" s="217">
        <f>FV(F72/C73,C81,0,-F75)</f>
        <v>1850.7799999999834</v>
      </c>
      <c r="I81" s="2"/>
    </row>
    <row r="82" ht="14.25" thickBot="1" thickTop="1">
      <c r="I82" s="2"/>
    </row>
    <row r="83" spans="2:9" ht="13.5" thickTop="1">
      <c r="B83" s="79" t="s">
        <v>111</v>
      </c>
      <c r="C83" s="121" t="s">
        <v>116</v>
      </c>
      <c r="D83" s="18" t="s">
        <v>7</v>
      </c>
      <c r="E83" s="131">
        <v>0</v>
      </c>
      <c r="F83" s="177">
        <v>0.1121781430941557</v>
      </c>
      <c r="G83" s="201">
        <f>F83</f>
        <v>0.1121781430941557</v>
      </c>
      <c r="H83" s="85" t="s">
        <v>198</v>
      </c>
      <c r="I83" s="2"/>
    </row>
    <row r="84" spans="2:10" ht="12.75">
      <c r="B84" s="79"/>
      <c r="C84" s="122">
        <v>1</v>
      </c>
      <c r="D84" s="19" t="s">
        <v>5</v>
      </c>
      <c r="E84" s="124" t="s">
        <v>8</v>
      </c>
      <c r="F84" s="144" t="s">
        <v>201</v>
      </c>
      <c r="G84" s="202" t="s">
        <v>108</v>
      </c>
      <c r="H84" s="232" t="s">
        <v>208</v>
      </c>
      <c r="I84" s="219">
        <f>IRR(D86:D92)</f>
        <v>0.11217814328824598</v>
      </c>
      <c r="J84" s="208" t="s">
        <v>191</v>
      </c>
    </row>
    <row r="85" spans="3:10" ht="13.5" thickBot="1">
      <c r="C85" s="123" t="s">
        <v>118</v>
      </c>
      <c r="D85" s="20" t="s">
        <v>6</v>
      </c>
      <c r="E85" s="125" t="s">
        <v>115</v>
      </c>
      <c r="F85" s="145" t="s">
        <v>34</v>
      </c>
      <c r="G85" s="203" t="s">
        <v>17</v>
      </c>
      <c r="I85" s="2" t="s">
        <v>110</v>
      </c>
      <c r="J85" s="208" t="s">
        <v>192</v>
      </c>
    </row>
    <row r="86" spans="3:10" ht="13.5" thickTop="1">
      <c r="C86" s="18">
        <v>0</v>
      </c>
      <c r="D86" s="23">
        <v>-40000</v>
      </c>
      <c r="E86" s="15">
        <f>D86</f>
        <v>-40000</v>
      </c>
      <c r="F86" s="176">
        <f>D86+NPV(F$83/C$84,D$87:D$92)</f>
        <v>1.6253645299002528E-05</v>
      </c>
      <c r="G86" s="120"/>
      <c r="H86" s="40"/>
      <c r="I86" s="2" t="s">
        <v>110</v>
      </c>
      <c r="J86" s="208" t="s">
        <v>193</v>
      </c>
    </row>
    <row r="87" spans="2:10" ht="12.75">
      <c r="B87" s="2" t="s">
        <v>172</v>
      </c>
      <c r="C87" s="19">
        <v>1</v>
      </c>
      <c r="D87" s="24">
        <v>22000</v>
      </c>
      <c r="E87" s="16">
        <f aca="true" t="shared" si="8" ref="E87:E92">E86+D87</f>
        <v>-18000</v>
      </c>
      <c r="F87" s="132"/>
      <c r="G87" s="129"/>
      <c r="H87" s="40"/>
      <c r="I87" s="2" t="s">
        <v>110</v>
      </c>
      <c r="J87" s="208" t="s">
        <v>194</v>
      </c>
    </row>
    <row r="88" spans="2:10" ht="12.75">
      <c r="B88" s="2" t="s">
        <v>173</v>
      </c>
      <c r="C88" s="19">
        <v>2</v>
      </c>
      <c r="D88" s="24">
        <v>0</v>
      </c>
      <c r="E88" s="16">
        <f t="shared" si="8"/>
        <v>-18000</v>
      </c>
      <c r="F88" s="132"/>
      <c r="G88" s="129"/>
      <c r="I88" s="213">
        <f>E86+NPV(F83/C84,D87:D92)</f>
        <v>1.6253645299002528E-05</v>
      </c>
      <c r="J88" s="181" t="s">
        <v>195</v>
      </c>
    </row>
    <row r="89" spans="2:10" ht="12.75">
      <c r="B89" s="2" t="s">
        <v>174</v>
      </c>
      <c r="C89" s="19">
        <v>3</v>
      </c>
      <c r="D89" s="24">
        <v>22000</v>
      </c>
      <c r="E89" s="16">
        <f t="shared" si="8"/>
        <v>4000</v>
      </c>
      <c r="F89" s="132"/>
      <c r="G89" s="129"/>
      <c r="H89" s="40"/>
      <c r="I89" s="224">
        <f>FV(F83/C84,C92,,-I88)</f>
        <v>3.0760749532045036E-05</v>
      </c>
      <c r="J89" s="198" t="s">
        <v>196</v>
      </c>
    </row>
    <row r="90" spans="2:10" ht="12.75">
      <c r="B90" s="2" t="s">
        <v>175</v>
      </c>
      <c r="C90" s="19">
        <v>4</v>
      </c>
      <c r="D90" s="24">
        <v>0</v>
      </c>
      <c r="E90" s="16">
        <f t="shared" si="8"/>
        <v>4000</v>
      </c>
      <c r="F90" s="132"/>
      <c r="G90" s="129"/>
      <c r="I90" s="21">
        <f>(C89-(E89/D89))/C84</f>
        <v>2.8181818181818183</v>
      </c>
      <c r="J90" s="208" t="s">
        <v>197</v>
      </c>
    </row>
    <row r="91" spans="2:10" ht="12.75">
      <c r="B91" s="2" t="s">
        <v>176</v>
      </c>
      <c r="C91" s="19">
        <v>5</v>
      </c>
      <c r="D91" s="24">
        <v>0</v>
      </c>
      <c r="E91" s="16">
        <f t="shared" si="8"/>
        <v>4000</v>
      </c>
      <c r="F91" s="132"/>
      <c r="G91" s="129"/>
      <c r="I91" s="220">
        <f>ABS((F86-D86)/D86)</f>
        <v>1.0000000004063412</v>
      </c>
      <c r="J91" s="1" t="s">
        <v>122</v>
      </c>
    </row>
    <row r="92" spans="2:9" ht="13.5" thickBot="1">
      <c r="B92" s="2" t="s">
        <v>177</v>
      </c>
      <c r="C92" s="20">
        <v>6</v>
      </c>
      <c r="D92" s="25">
        <v>8000</v>
      </c>
      <c r="E92" s="17">
        <f t="shared" si="8"/>
        <v>12000</v>
      </c>
      <c r="F92" s="133"/>
      <c r="G92" s="221">
        <f>FV(F83/C84,C92,0,-F86)</f>
        <v>3.0760749532045036E-05</v>
      </c>
      <c r="I92" s="2"/>
    </row>
    <row r="93" ht="14.25" thickBot="1" thickTop="1">
      <c r="I93" s="2"/>
    </row>
    <row r="94" spans="2:10" ht="13.5" thickTop="1">
      <c r="B94" s="79" t="s">
        <v>112</v>
      </c>
      <c r="C94" s="121" t="s">
        <v>116</v>
      </c>
      <c r="D94" s="18" t="s">
        <v>7</v>
      </c>
      <c r="E94" s="131">
        <v>0</v>
      </c>
      <c r="F94" s="179">
        <v>1.346137719454319</v>
      </c>
      <c r="G94" s="201">
        <f>F94</f>
        <v>1.346137719454319</v>
      </c>
      <c r="H94" s="232" t="s">
        <v>208</v>
      </c>
      <c r="I94" s="222">
        <f>I95*C95</f>
        <v>1.3461377194589517</v>
      </c>
      <c r="J94" s="198" t="s">
        <v>199</v>
      </c>
    </row>
    <row r="95" spans="2:10" ht="12.75">
      <c r="B95" s="79"/>
      <c r="C95" s="122">
        <v>12</v>
      </c>
      <c r="D95" s="19" t="s">
        <v>5</v>
      </c>
      <c r="E95" s="124" t="s">
        <v>8</v>
      </c>
      <c r="F95" s="139" t="s">
        <v>201</v>
      </c>
      <c r="G95" s="202" t="s">
        <v>108</v>
      </c>
      <c r="I95" s="219">
        <f>IRR(D97:D103)</f>
        <v>0.11217814328824598</v>
      </c>
      <c r="J95" s="208" t="s">
        <v>200</v>
      </c>
    </row>
    <row r="96" spans="3:10" ht="13.5" thickBot="1">
      <c r="C96" s="123" t="s">
        <v>10</v>
      </c>
      <c r="D96" s="20" t="s">
        <v>6</v>
      </c>
      <c r="E96" s="125" t="s">
        <v>115</v>
      </c>
      <c r="F96" s="140" t="s">
        <v>34</v>
      </c>
      <c r="G96" s="203" t="s">
        <v>17</v>
      </c>
      <c r="I96" s="2" t="s">
        <v>110</v>
      </c>
      <c r="J96" s="208" t="s">
        <v>192</v>
      </c>
    </row>
    <row r="97" spans="3:10" ht="13.5" thickTop="1">
      <c r="C97" s="18">
        <v>0</v>
      </c>
      <c r="D97" s="23">
        <v>-40000</v>
      </c>
      <c r="E97" s="15">
        <f>D97</f>
        <v>-40000</v>
      </c>
      <c r="F97" s="178">
        <f>D97+NPV(F$94/C$95,D$98:D$103)</f>
        <v>3.537570592015982E-08</v>
      </c>
      <c r="G97" s="120"/>
      <c r="H97" s="40"/>
      <c r="I97" s="2" t="s">
        <v>110</v>
      </c>
      <c r="J97" s="208" t="s">
        <v>193</v>
      </c>
    </row>
    <row r="98" spans="2:10" ht="12.75">
      <c r="B98" t="s">
        <v>184</v>
      </c>
      <c r="C98" s="19">
        <v>1</v>
      </c>
      <c r="D98" s="24">
        <v>22000</v>
      </c>
      <c r="E98" s="16">
        <f aca="true" t="shared" si="9" ref="E98:E103">E97+D98</f>
        <v>-18000</v>
      </c>
      <c r="F98" s="132"/>
      <c r="G98" s="129"/>
      <c r="H98" s="40"/>
      <c r="I98" s="2" t="s">
        <v>110</v>
      </c>
      <c r="J98" s="208" t="s">
        <v>194</v>
      </c>
    </row>
    <row r="99" spans="2:10" ht="12.75">
      <c r="B99" t="s">
        <v>185</v>
      </c>
      <c r="C99" s="19">
        <v>2</v>
      </c>
      <c r="D99" s="24">
        <v>0</v>
      </c>
      <c r="E99" s="16">
        <f t="shared" si="9"/>
        <v>-18000</v>
      </c>
      <c r="F99" s="132"/>
      <c r="G99" s="129"/>
      <c r="I99" s="213">
        <f>E97+NPV(F94/C95,D98:D103)</f>
        <v>3.537570592015982E-08</v>
      </c>
      <c r="J99" s="181" t="s">
        <v>195</v>
      </c>
    </row>
    <row r="100" spans="2:10" ht="12.75">
      <c r="B100" t="s">
        <v>186</v>
      </c>
      <c r="C100" s="19">
        <v>3</v>
      </c>
      <c r="D100" s="24">
        <v>22000</v>
      </c>
      <c r="E100" s="16">
        <f t="shared" si="9"/>
        <v>4000</v>
      </c>
      <c r="F100" s="132"/>
      <c r="G100" s="129"/>
      <c r="H100" s="40"/>
      <c r="I100" s="224">
        <f>FV(F94/C95,C103,,-I99)</f>
        <v>6.695010321981433E-08</v>
      </c>
      <c r="J100" s="198" t="s">
        <v>196</v>
      </c>
    </row>
    <row r="101" spans="2:10" ht="12.75">
      <c r="B101" t="s">
        <v>187</v>
      </c>
      <c r="C101" s="19">
        <v>4</v>
      </c>
      <c r="D101" s="24">
        <v>0</v>
      </c>
      <c r="E101" s="16">
        <f t="shared" si="9"/>
        <v>4000</v>
      </c>
      <c r="F101" s="132"/>
      <c r="G101" s="129"/>
      <c r="I101" s="21">
        <f>(C100-(E100/D100))/C95</f>
        <v>0.23484848484848486</v>
      </c>
      <c r="J101" s="208" t="s">
        <v>197</v>
      </c>
    </row>
    <row r="102" spans="2:10" ht="12.75">
      <c r="B102" t="s">
        <v>188</v>
      </c>
      <c r="C102" s="19">
        <v>5</v>
      </c>
      <c r="D102" s="24">
        <v>0</v>
      </c>
      <c r="E102" s="16">
        <f t="shared" si="9"/>
        <v>4000</v>
      </c>
      <c r="F102" s="132"/>
      <c r="G102" s="129"/>
      <c r="I102" s="220">
        <f>ABS((F97-D97)/D97)</f>
        <v>1.0000000000008844</v>
      </c>
      <c r="J102" s="1" t="s">
        <v>122</v>
      </c>
    </row>
    <row r="103" spans="2:9" ht="13.5" thickBot="1">
      <c r="B103" t="s">
        <v>189</v>
      </c>
      <c r="C103" s="20">
        <v>6</v>
      </c>
      <c r="D103" s="25">
        <v>8000</v>
      </c>
      <c r="E103" s="17">
        <f t="shared" si="9"/>
        <v>12000</v>
      </c>
      <c r="F103" s="133"/>
      <c r="G103" s="221">
        <f>FV(F94/C95,C103,0,-F97)</f>
        <v>6.695010321981433E-08</v>
      </c>
      <c r="I103" s="2"/>
    </row>
    <row r="104" ht="14.25" thickBot="1" thickTop="1">
      <c r="I104" s="2"/>
    </row>
    <row r="105" spans="2:10" ht="13.5" thickTop="1">
      <c r="B105" s="79" t="s">
        <v>113</v>
      </c>
      <c r="C105" s="121" t="s">
        <v>168</v>
      </c>
      <c r="D105" s="18" t="s">
        <v>7</v>
      </c>
      <c r="E105" s="131">
        <v>0</v>
      </c>
      <c r="F105" s="180">
        <v>0.1</v>
      </c>
      <c r="G105" s="201">
        <f>F105</f>
        <v>0.1</v>
      </c>
      <c r="H105" s="232" t="s">
        <v>208</v>
      </c>
      <c r="I105" s="222">
        <f>I106*C106</f>
        <v>0.10986750035598611</v>
      </c>
      <c r="J105" s="198" t="s">
        <v>199</v>
      </c>
    </row>
    <row r="106" spans="2:10" ht="12.75">
      <c r="B106" s="79"/>
      <c r="C106" s="122">
        <v>1</v>
      </c>
      <c r="D106" s="19" t="s">
        <v>5</v>
      </c>
      <c r="E106" s="124" t="s">
        <v>8</v>
      </c>
      <c r="F106" s="144" t="s">
        <v>201</v>
      </c>
      <c r="G106" s="202" t="s">
        <v>108</v>
      </c>
      <c r="I106" s="219">
        <f>IRR(D108:D114)</f>
        <v>0.10986750035598611</v>
      </c>
      <c r="J106" s="208" t="s">
        <v>200</v>
      </c>
    </row>
    <row r="107" spans="3:10" ht="13.5" thickBot="1">
      <c r="C107" s="123" t="s">
        <v>118</v>
      </c>
      <c r="D107" s="20" t="s">
        <v>6</v>
      </c>
      <c r="E107" s="125" t="s">
        <v>115</v>
      </c>
      <c r="F107" s="145" t="s">
        <v>34</v>
      </c>
      <c r="G107" s="203" t="s">
        <v>17</v>
      </c>
      <c r="I107" s="27">
        <f>RATE(C114,D109,D108,D114-D109)</f>
        <v>0.10986750035623384</v>
      </c>
      <c r="J107" s="208" t="s">
        <v>192</v>
      </c>
    </row>
    <row r="108" spans="3:10" ht="13.5" thickTop="1">
      <c r="C108" s="18">
        <v>0</v>
      </c>
      <c r="D108" s="23">
        <v>-52000</v>
      </c>
      <c r="E108" s="15">
        <f>D108</f>
        <v>-52000</v>
      </c>
      <c r="F108" s="223">
        <f>D108+PV(F105/C106,C114,-D109,-(D114-D109))</f>
        <v>1873.668476558254</v>
      </c>
      <c r="G108" s="120"/>
      <c r="I108" s="216">
        <f>PMT(I105/C106,C114,D108,D114-D109)</f>
        <v>8999.999999998</v>
      </c>
      <c r="J108" s="208" t="s">
        <v>193</v>
      </c>
    </row>
    <row r="109" spans="2:10" ht="12.75">
      <c r="B109" s="2" t="s">
        <v>172</v>
      </c>
      <c r="C109" s="19">
        <v>1</v>
      </c>
      <c r="D109" s="24">
        <v>9000</v>
      </c>
      <c r="E109" s="16">
        <f aca="true" t="shared" si="10" ref="E109:E114">E108+D109</f>
        <v>-43000</v>
      </c>
      <c r="F109" s="132"/>
      <c r="G109" s="129"/>
      <c r="I109" s="216">
        <f>D108+PV(F105/C106,C114,-D109,-(D114-D109))</f>
        <v>1873.668476558254</v>
      </c>
      <c r="J109" s="208" t="s">
        <v>194</v>
      </c>
    </row>
    <row r="110" spans="2:10" ht="12.75">
      <c r="B110" s="2" t="s">
        <v>173</v>
      </c>
      <c r="C110" s="19">
        <v>2</v>
      </c>
      <c r="D110" s="24">
        <v>9000</v>
      </c>
      <c r="E110" s="16">
        <f t="shared" si="10"/>
        <v>-34000</v>
      </c>
      <c r="F110" s="132"/>
      <c r="G110" s="129"/>
      <c r="I110" s="215">
        <f>E108+NPV(F105/C106,D109:D114)</f>
        <v>1873.668476558225</v>
      </c>
      <c r="J110" s="181" t="s">
        <v>195</v>
      </c>
    </row>
    <row r="111" spans="2:10" ht="12.75">
      <c r="B111" s="2" t="s">
        <v>174</v>
      </c>
      <c r="C111" s="19">
        <v>3</v>
      </c>
      <c r="D111" s="24">
        <v>9000</v>
      </c>
      <c r="E111" s="16">
        <f t="shared" si="10"/>
        <v>-25000</v>
      </c>
      <c r="F111" s="132"/>
      <c r="G111" s="129"/>
      <c r="I111" s="218">
        <f>FV(F105/C106,C114,,-I110)</f>
        <v>3319.317999999967</v>
      </c>
      <c r="J111" s="198" t="s">
        <v>196</v>
      </c>
    </row>
    <row r="112" spans="2:10" ht="12.75">
      <c r="B112" s="2" t="s">
        <v>175</v>
      </c>
      <c r="C112" s="19">
        <v>4</v>
      </c>
      <c r="D112" s="24">
        <v>9000</v>
      </c>
      <c r="E112" s="16">
        <f t="shared" si="10"/>
        <v>-16000</v>
      </c>
      <c r="F112" s="132"/>
      <c r="G112" s="129"/>
      <c r="I112" s="21">
        <f>(C111-(E111/D111))/C106</f>
        <v>5.777777777777778</v>
      </c>
      <c r="J112" s="208" t="s">
        <v>197</v>
      </c>
    </row>
    <row r="113" spans="2:10" ht="12.75">
      <c r="B113" s="2" t="s">
        <v>176</v>
      </c>
      <c r="C113" s="19">
        <v>5</v>
      </c>
      <c r="D113" s="24">
        <v>9000</v>
      </c>
      <c r="E113" s="16">
        <f t="shared" si="10"/>
        <v>-7000</v>
      </c>
      <c r="F113" s="132"/>
      <c r="G113" s="129"/>
      <c r="I113" s="220">
        <f>ABS((F108-D108)/D108)</f>
        <v>1.0360320860876586</v>
      </c>
      <c r="J113" s="1" t="s">
        <v>122</v>
      </c>
    </row>
    <row r="114" spans="2:7" ht="13.5" thickBot="1">
      <c r="B114" s="2" t="s">
        <v>177</v>
      </c>
      <c r="C114" s="20">
        <v>6</v>
      </c>
      <c r="D114" s="25">
        <v>35000</v>
      </c>
      <c r="E114" s="17">
        <f t="shared" si="10"/>
        <v>28000</v>
      </c>
      <c r="F114" s="133"/>
      <c r="G114" s="217">
        <f>FV(F105/C106,C114,0,-F108)</f>
        <v>3319.318000000019</v>
      </c>
    </row>
    <row r="115" ht="14.25" thickBot="1" thickTop="1"/>
    <row r="116" spans="2:10" ht="13.5" thickTop="1">
      <c r="B116" s="79" t="s">
        <v>114</v>
      </c>
      <c r="C116" s="121" t="s">
        <v>168</v>
      </c>
      <c r="D116" s="18" t="s">
        <v>7</v>
      </c>
      <c r="E116" s="131">
        <v>0</v>
      </c>
      <c r="F116" s="180">
        <v>0.1098674971122432</v>
      </c>
      <c r="G116" s="201">
        <f>F116</f>
        <v>0.1098674971122432</v>
      </c>
      <c r="H116" s="232" t="s">
        <v>208</v>
      </c>
      <c r="I116" s="222">
        <f>I117*C117</f>
        <v>0.10986750035598611</v>
      </c>
      <c r="J116" s="198" t="s">
        <v>199</v>
      </c>
    </row>
    <row r="117" spans="2:10" ht="12.75">
      <c r="B117" s="79"/>
      <c r="C117" s="122">
        <v>1</v>
      </c>
      <c r="D117" s="19" t="s">
        <v>5</v>
      </c>
      <c r="E117" s="124" t="s">
        <v>8</v>
      </c>
      <c r="F117" s="144" t="s">
        <v>201</v>
      </c>
      <c r="G117" s="202" t="s">
        <v>108</v>
      </c>
      <c r="I117" s="219">
        <f>IRR(D119:D125)</f>
        <v>0.10986750035598611</v>
      </c>
      <c r="J117" s="208" t="s">
        <v>200</v>
      </c>
    </row>
    <row r="118" spans="3:10" ht="13.5" thickBot="1">
      <c r="C118" s="123" t="s">
        <v>118</v>
      </c>
      <c r="D118" s="20" t="s">
        <v>6</v>
      </c>
      <c r="E118" s="125" t="s">
        <v>115</v>
      </c>
      <c r="F118" s="145" t="s">
        <v>34</v>
      </c>
      <c r="G118" s="203" t="s">
        <v>17</v>
      </c>
      <c r="I118" s="27">
        <f>RATE(C125,D120,D119,D125-D120)</f>
        <v>0.10986750035623384</v>
      </c>
      <c r="J118" s="208" t="s">
        <v>192</v>
      </c>
    </row>
    <row r="119" spans="3:10" ht="13.5" thickTop="1">
      <c r="C119" s="18">
        <v>0</v>
      </c>
      <c r="D119" s="23">
        <v>-52000</v>
      </c>
      <c r="E119" s="15">
        <f>D119</f>
        <v>-52000</v>
      </c>
      <c r="F119" s="178">
        <f>D119+PV(F116/C117,C125,-D120,-(D125-D120))</f>
        <v>0.0005999473214615136</v>
      </c>
      <c r="G119" s="120"/>
      <c r="I119" s="216">
        <f>PMT(I116/C117,C125,D119,D125-D120)</f>
        <v>8999.999999998</v>
      </c>
      <c r="J119" s="208" t="s">
        <v>193</v>
      </c>
    </row>
    <row r="120" spans="2:10" ht="12.75">
      <c r="B120" s="2" t="s">
        <v>172</v>
      </c>
      <c r="C120" s="19">
        <v>1</v>
      </c>
      <c r="D120" s="24">
        <v>9000</v>
      </c>
      <c r="E120" s="16">
        <f aca="true" t="shared" si="11" ref="E120:E125">E119+D120</f>
        <v>-43000</v>
      </c>
      <c r="F120" s="132"/>
      <c r="G120" s="129"/>
      <c r="I120" s="214">
        <f>D119+PV(F116/C117,C125,-D120,-(D125-D120))</f>
        <v>0.0005999473214615136</v>
      </c>
      <c r="J120" s="208" t="s">
        <v>194</v>
      </c>
    </row>
    <row r="121" spans="2:10" ht="12.75">
      <c r="B121" s="2" t="s">
        <v>173</v>
      </c>
      <c r="C121" s="19">
        <v>2</v>
      </c>
      <c r="D121" s="24">
        <v>9000</v>
      </c>
      <c r="E121" s="16">
        <f t="shared" si="11"/>
        <v>-34000</v>
      </c>
      <c r="F121" s="132"/>
      <c r="G121" s="129"/>
      <c r="I121" s="213">
        <f>E119+NPV(F116/C117,D120:D125)</f>
        <v>0.0005999472705298103</v>
      </c>
      <c r="J121" s="181" t="s">
        <v>195</v>
      </c>
    </row>
    <row r="122" spans="2:10" ht="12.75">
      <c r="B122" s="2" t="s">
        <v>174</v>
      </c>
      <c r="C122" s="19">
        <v>3</v>
      </c>
      <c r="D122" s="24">
        <v>9000</v>
      </c>
      <c r="E122" s="16">
        <f t="shared" si="11"/>
        <v>-25000</v>
      </c>
      <c r="F122" s="132"/>
      <c r="G122" s="129"/>
      <c r="I122" s="224">
        <f>FV(F116/C117,C125,,-I121)</f>
        <v>0.0011213466255253829</v>
      </c>
      <c r="J122" s="198" t="s">
        <v>196</v>
      </c>
    </row>
    <row r="123" spans="2:10" ht="12.75">
      <c r="B123" s="2" t="s">
        <v>175</v>
      </c>
      <c r="C123" s="19">
        <v>4</v>
      </c>
      <c r="D123" s="24">
        <v>9000</v>
      </c>
      <c r="E123" s="16">
        <f t="shared" si="11"/>
        <v>-16000</v>
      </c>
      <c r="F123" s="132"/>
      <c r="G123" s="129"/>
      <c r="I123" s="21">
        <f>(C122-(E122/D122))/C117</f>
        <v>5.777777777777778</v>
      </c>
      <c r="J123" s="208" t="s">
        <v>197</v>
      </c>
    </row>
    <row r="124" spans="2:10" ht="12.75">
      <c r="B124" s="2" t="s">
        <v>176</v>
      </c>
      <c r="C124" s="19">
        <v>5</v>
      </c>
      <c r="D124" s="24">
        <v>9000</v>
      </c>
      <c r="E124" s="16">
        <f t="shared" si="11"/>
        <v>-7000</v>
      </c>
      <c r="F124" s="132"/>
      <c r="G124" s="129"/>
      <c r="I124" s="220">
        <f>ABS((F119-D119)/D119)</f>
        <v>1.0000000115374486</v>
      </c>
      <c r="J124" s="1" t="s">
        <v>122</v>
      </c>
    </row>
    <row r="125" spans="2:7" ht="13.5" thickBot="1">
      <c r="B125" s="2" t="s">
        <v>177</v>
      </c>
      <c r="C125" s="20">
        <v>6</v>
      </c>
      <c r="D125" s="25">
        <v>35000</v>
      </c>
      <c r="E125" s="17">
        <f t="shared" si="11"/>
        <v>28000</v>
      </c>
      <c r="F125" s="133"/>
      <c r="G125" s="221">
        <f>FV(F116/C117,C125,0,-F119)</f>
        <v>0.0011213467207205716</v>
      </c>
    </row>
    <row r="126" ht="14.25" thickBot="1" thickTop="1"/>
    <row r="127" spans="2:10" ht="13.5" thickTop="1">
      <c r="B127" s="79" t="s">
        <v>119</v>
      </c>
      <c r="C127" s="121" t="s">
        <v>168</v>
      </c>
      <c r="D127" s="18" t="s">
        <v>7</v>
      </c>
      <c r="E127" s="131">
        <v>0</v>
      </c>
      <c r="F127" s="180">
        <v>0.1</v>
      </c>
      <c r="G127" s="201">
        <f>F127</f>
        <v>0.1</v>
      </c>
      <c r="H127" s="232" t="s">
        <v>208</v>
      </c>
      <c r="I127" s="222">
        <f>I128*C128</f>
        <v>0.13068855306364238</v>
      </c>
      <c r="J127" s="198" t="s">
        <v>199</v>
      </c>
    </row>
    <row r="128" spans="2:10" ht="12.75">
      <c r="B128" s="79"/>
      <c r="C128" s="122">
        <v>12</v>
      </c>
      <c r="D128" s="19" t="s">
        <v>5</v>
      </c>
      <c r="E128" s="124" t="s">
        <v>8</v>
      </c>
      <c r="F128" s="144" t="s">
        <v>201</v>
      </c>
      <c r="G128" s="202" t="s">
        <v>108</v>
      </c>
      <c r="I128" s="219">
        <f>IRR(D130:D136)</f>
        <v>0.010890712755303532</v>
      </c>
      <c r="J128" s="208" t="s">
        <v>200</v>
      </c>
    </row>
    <row r="129" spans="3:10" ht="13.5" thickBot="1">
      <c r="C129" s="123" t="s">
        <v>10</v>
      </c>
      <c r="D129" s="20" t="s">
        <v>6</v>
      </c>
      <c r="E129" s="125" t="s">
        <v>115</v>
      </c>
      <c r="F129" s="145" t="s">
        <v>34</v>
      </c>
      <c r="G129" s="203" t="s">
        <v>17</v>
      </c>
      <c r="I129" s="27">
        <f>RATE(C136,D131,D130,D136-D131)</f>
        <v>0.010890712755357178</v>
      </c>
      <c r="J129" s="208" t="s">
        <v>192</v>
      </c>
    </row>
    <row r="130" spans="3:10" ht="13.5" thickTop="1">
      <c r="C130" s="18">
        <v>0</v>
      </c>
      <c r="D130" s="23">
        <v>-52000</v>
      </c>
      <c r="E130" s="15">
        <f>D130</f>
        <v>-52000</v>
      </c>
      <c r="F130" s="223">
        <f>D130+PV(F127/C128,C136,-D131,-(D136-D131))</f>
        <v>459.35452275434363</v>
      </c>
      <c r="G130" s="120"/>
      <c r="I130" s="216">
        <f>PMT(I127/C128,C136,D130,D136-D131)</f>
        <v>9000.000000001153</v>
      </c>
      <c r="J130" s="208" t="s">
        <v>193</v>
      </c>
    </row>
    <row r="131" spans="2:10" ht="12.75">
      <c r="B131" t="s">
        <v>184</v>
      </c>
      <c r="C131" s="19">
        <v>1</v>
      </c>
      <c r="D131" s="24">
        <v>9000</v>
      </c>
      <c r="E131" s="16">
        <f aca="true" t="shared" si="12" ref="E131:E136">E130+D131</f>
        <v>-43000</v>
      </c>
      <c r="F131" s="132"/>
      <c r="G131" s="129"/>
      <c r="I131" s="214">
        <f>D130+PV(F127/C128,C136,-D131,-(D136-D131))</f>
        <v>459.35452275434363</v>
      </c>
      <c r="J131" s="208" t="s">
        <v>194</v>
      </c>
    </row>
    <row r="132" spans="2:10" ht="12.75">
      <c r="B132" t="s">
        <v>185</v>
      </c>
      <c r="C132" s="19">
        <v>2</v>
      </c>
      <c r="D132" s="24">
        <v>9000</v>
      </c>
      <c r="E132" s="16">
        <f t="shared" si="12"/>
        <v>-34000</v>
      </c>
      <c r="F132" s="132"/>
      <c r="G132" s="129"/>
      <c r="I132" s="215">
        <f>E130+NPV(F127/C128,D131:D136)</f>
        <v>459.35452275455464</v>
      </c>
      <c r="J132" s="181" t="s">
        <v>195</v>
      </c>
    </row>
    <row r="133" spans="2:10" ht="12.75">
      <c r="B133" t="s">
        <v>186</v>
      </c>
      <c r="C133" s="19">
        <v>3</v>
      </c>
      <c r="D133" s="24">
        <v>9000</v>
      </c>
      <c r="E133" s="16">
        <f t="shared" si="12"/>
        <v>-25000</v>
      </c>
      <c r="F133" s="132"/>
      <c r="G133" s="129"/>
      <c r="I133" s="218">
        <f>FV(F127/C128,C136,,-I132)</f>
        <v>482.80609312977776</v>
      </c>
      <c r="J133" s="198" t="s">
        <v>196</v>
      </c>
    </row>
    <row r="134" spans="2:10" ht="12.75">
      <c r="B134" t="s">
        <v>187</v>
      </c>
      <c r="C134" s="19">
        <v>4</v>
      </c>
      <c r="D134" s="24">
        <v>9000</v>
      </c>
      <c r="E134" s="16">
        <f t="shared" si="12"/>
        <v>-16000</v>
      </c>
      <c r="F134" s="132"/>
      <c r="G134" s="129"/>
      <c r="I134" s="21">
        <f>(C133-(E133/D133))/C128</f>
        <v>0.48148148148148145</v>
      </c>
      <c r="J134" s="208" t="s">
        <v>197</v>
      </c>
    </row>
    <row r="135" spans="2:10" ht="12.75">
      <c r="B135" t="s">
        <v>188</v>
      </c>
      <c r="C135" s="19">
        <v>5</v>
      </c>
      <c r="D135" s="24">
        <v>9000</v>
      </c>
      <c r="E135" s="16">
        <f t="shared" si="12"/>
        <v>-7000</v>
      </c>
      <c r="F135" s="132"/>
      <c r="G135" s="129"/>
      <c r="I135" s="220">
        <f>ABS((F130-D130)/D130)</f>
        <v>1.008833740822199</v>
      </c>
      <c r="J135" s="1" t="s">
        <v>122</v>
      </c>
    </row>
    <row r="136" spans="2:7" ht="13.5" thickBot="1">
      <c r="B136" t="s">
        <v>189</v>
      </c>
      <c r="C136" s="20">
        <v>6</v>
      </c>
      <c r="D136" s="25">
        <v>9000</v>
      </c>
      <c r="E136" s="17">
        <f t="shared" si="12"/>
        <v>2000</v>
      </c>
      <c r="F136" s="133"/>
      <c r="G136" s="217">
        <f>FV(F127/C128,C136,0,-F130)</f>
        <v>482.80609312955596</v>
      </c>
    </row>
    <row r="137" ht="13.5" thickTop="1"/>
    <row r="138" ht="13.5" thickBot="1"/>
    <row r="139" spans="2:7" ht="13.5" thickTop="1">
      <c r="B139" s="79" t="s">
        <v>123</v>
      </c>
      <c r="C139" s="121" t="s">
        <v>116</v>
      </c>
      <c r="D139" s="127">
        <f>RATE(C148,D143,D142,0)</f>
        <v>0.0816378226672685</v>
      </c>
      <c r="E139" s="183">
        <f>D$139</f>
        <v>0.0816378226672685</v>
      </c>
      <c r="F139" s="127">
        <f>E$139</f>
        <v>0.0816378226672685</v>
      </c>
      <c r="G139" s="127">
        <f>F$139</f>
        <v>0.0816378226672685</v>
      </c>
    </row>
    <row r="140" spans="2:7" ht="12.75">
      <c r="B140" s="79"/>
      <c r="C140" s="122">
        <v>1</v>
      </c>
      <c r="D140" s="19" t="s">
        <v>5</v>
      </c>
      <c r="E140" s="184" t="s">
        <v>125</v>
      </c>
      <c r="F140" s="139" t="s">
        <v>127</v>
      </c>
      <c r="G140" s="144" t="s">
        <v>129</v>
      </c>
    </row>
    <row r="141" spans="3:7" ht="13.5" thickBot="1">
      <c r="C141" s="123" t="s">
        <v>118</v>
      </c>
      <c r="D141" s="20" t="s">
        <v>6</v>
      </c>
      <c r="E141" s="185" t="s">
        <v>126</v>
      </c>
      <c r="F141" s="140" t="s">
        <v>128</v>
      </c>
      <c r="G141" s="145" t="s">
        <v>132</v>
      </c>
    </row>
    <row r="142" spans="1:7" ht="13.5" thickTop="1">
      <c r="A142" s="41" t="s">
        <v>130</v>
      </c>
      <c r="C142" s="18">
        <v>0</v>
      </c>
      <c r="D142" s="237">
        <v>-46000</v>
      </c>
      <c r="E142" s="184" t="s">
        <v>125</v>
      </c>
      <c r="F142" s="139" t="s">
        <v>127</v>
      </c>
      <c r="G142" s="144" t="s">
        <v>129</v>
      </c>
    </row>
    <row r="143" spans="1:7" ht="13.5" thickBot="1">
      <c r="A143" s="146" t="s">
        <v>131</v>
      </c>
      <c r="B143" s="2" t="s">
        <v>172</v>
      </c>
      <c r="C143" s="19">
        <v>1</v>
      </c>
      <c r="D143" s="238">
        <v>10000</v>
      </c>
      <c r="E143" s="186">
        <f aca="true" t="shared" si="13" ref="E143:E148">IPMT($D$139,C143,C$148,$D$142)</f>
        <v>3755.3398426943513</v>
      </c>
      <c r="F143" s="137">
        <f aca="true" t="shared" si="14" ref="F143:F148">PPMT($D$139,C143,C$148,D$142)</f>
        <v>6244.660157305656</v>
      </c>
      <c r="G143" s="142">
        <f aca="true" t="shared" si="15" ref="G143:G148">PMT(D$139,C$148,D$142)</f>
        <v>10000.000000000007</v>
      </c>
    </row>
    <row r="144" spans="2:7" ht="13.5" thickTop="1">
      <c r="B144" s="2" t="s">
        <v>173</v>
      </c>
      <c r="C144" s="19">
        <v>2</v>
      </c>
      <c r="D144" s="24">
        <f>D$143</f>
        <v>10000</v>
      </c>
      <c r="E144" s="186">
        <f t="shared" si="13"/>
        <v>3245.5393841548753</v>
      </c>
      <c r="F144" s="137">
        <f t="shared" si="14"/>
        <v>6754.4606158451315</v>
      </c>
      <c r="G144" s="142">
        <f t="shared" si="15"/>
        <v>10000.000000000007</v>
      </c>
    </row>
    <row r="145" spans="2:7" ht="12.75">
      <c r="B145" s="2" t="s">
        <v>174</v>
      </c>
      <c r="C145" s="19">
        <v>3</v>
      </c>
      <c r="D145" s="24">
        <f>D$143</f>
        <v>10000</v>
      </c>
      <c r="E145" s="186">
        <f t="shared" si="13"/>
        <v>2694.119926185461</v>
      </c>
      <c r="F145" s="137">
        <f t="shared" si="14"/>
        <v>7305.880073814546</v>
      </c>
      <c r="G145" s="142">
        <f t="shared" si="15"/>
        <v>10000.000000000007</v>
      </c>
    </row>
    <row r="146" spans="2:7" ht="12.75">
      <c r="B146" s="2" t="s">
        <v>175</v>
      </c>
      <c r="C146" s="19">
        <v>4</v>
      </c>
      <c r="D146" s="24">
        <f>D$143</f>
        <v>10000</v>
      </c>
      <c r="E146" s="186">
        <f t="shared" si="13"/>
        <v>2097.6837842910586</v>
      </c>
      <c r="F146" s="137">
        <f t="shared" si="14"/>
        <v>7902.316215708948</v>
      </c>
      <c r="G146" s="142">
        <f t="shared" si="15"/>
        <v>10000.000000000007</v>
      </c>
    </row>
    <row r="147" spans="2:7" ht="12.75">
      <c r="B147" s="2" t="s">
        <v>176</v>
      </c>
      <c r="C147" s="19">
        <v>5</v>
      </c>
      <c r="D147" s="24">
        <f>D$143</f>
        <v>10000</v>
      </c>
      <c r="E147" s="186">
        <f t="shared" si="13"/>
        <v>1452.5558944123306</v>
      </c>
      <c r="F147" s="137">
        <f t="shared" si="14"/>
        <v>8547.444105587676</v>
      </c>
      <c r="G147" s="142">
        <f t="shared" si="15"/>
        <v>10000.000000000007</v>
      </c>
    </row>
    <row r="148" spans="2:7" ht="13.5" thickBot="1">
      <c r="B148" s="2" t="s">
        <v>177</v>
      </c>
      <c r="C148" s="20">
        <v>6</v>
      </c>
      <c r="D148" s="25">
        <f>D$143</f>
        <v>10000</v>
      </c>
      <c r="E148" s="187">
        <f t="shared" si="13"/>
        <v>754.7611682619747</v>
      </c>
      <c r="F148" s="138">
        <f t="shared" si="14"/>
        <v>9245.238831738032</v>
      </c>
      <c r="G148" s="143">
        <f t="shared" si="15"/>
        <v>10000.000000000007</v>
      </c>
    </row>
    <row r="149" ht="13.5" thickTop="1"/>
    <row r="151" ht="12.75">
      <c r="B151" t="s">
        <v>7</v>
      </c>
    </row>
    <row r="154" spans="2:4" ht="12.75">
      <c r="B154" s="79" t="s">
        <v>124</v>
      </c>
      <c r="C154" s="108" t="s">
        <v>170</v>
      </c>
      <c r="D154" s="239">
        <v>-100000</v>
      </c>
    </row>
    <row r="155" spans="2:4" ht="12.75">
      <c r="B155" s="22" t="s">
        <v>7</v>
      </c>
      <c r="C155" s="108" t="s">
        <v>209</v>
      </c>
      <c r="D155" s="239">
        <v>-200000</v>
      </c>
    </row>
    <row r="156" spans="3:4" ht="13.5" thickBot="1">
      <c r="C156" s="233" t="s">
        <v>208</v>
      </c>
      <c r="D156" s="240">
        <v>0.12</v>
      </c>
    </row>
    <row r="157" spans="3:7" ht="13.5" thickTop="1">
      <c r="C157" s="108" t="s">
        <v>168</v>
      </c>
      <c r="D157" s="22" t="s">
        <v>10</v>
      </c>
      <c r="E157" s="188" t="s">
        <v>10</v>
      </c>
      <c r="F157" s="190" t="s">
        <v>127</v>
      </c>
      <c r="G157" s="191" t="s">
        <v>10</v>
      </c>
    </row>
    <row r="158" spans="3:7" ht="13.5" thickBot="1">
      <c r="C158" s="206" t="s">
        <v>171</v>
      </c>
      <c r="D158" s="22">
        <v>20</v>
      </c>
      <c r="E158" s="189" t="s">
        <v>125</v>
      </c>
      <c r="F158" s="192" t="s">
        <v>210</v>
      </c>
      <c r="G158" s="193" t="s">
        <v>129</v>
      </c>
    </row>
    <row r="159" spans="3:7" ht="14.25" thickBot="1" thickTop="1">
      <c r="C159" s="182" t="s">
        <v>145</v>
      </c>
      <c r="D159" s="22">
        <v>1</v>
      </c>
      <c r="E159" s="194">
        <f>IPMT(D$156/12,D159,D$158*12,D$155)</f>
        <v>2000</v>
      </c>
      <c r="F159" s="195">
        <f>PPMT($D$156/12,D159,D$158*12,D$155)</f>
        <v>202.17226713921946</v>
      </c>
      <c r="G159" s="196">
        <f>PMT(D$156/12,D$158*12,D$155)</f>
        <v>2202.1722671392195</v>
      </c>
    </row>
    <row r="160" spans="3:7" ht="14.25" thickBot="1" thickTop="1">
      <c r="C160" s="182" t="s">
        <v>145</v>
      </c>
      <c r="D160" s="22">
        <v>2</v>
      </c>
      <c r="E160" s="194">
        <f>IPMT(D$156/12,D160,D$158*12,D$155)</f>
        <v>1997.9782773286079</v>
      </c>
      <c r="F160" s="195">
        <f>PPMT($D$156/12,D160,D$158*12,D$155)</f>
        <v>204.19398981061158</v>
      </c>
      <c r="G160" s="196">
        <f>PMT(D$156/12,D$158*12,D$155)</f>
        <v>2202.1722671392195</v>
      </c>
    </row>
    <row r="161" spans="3:7" ht="14.25" thickBot="1" thickTop="1">
      <c r="C161" s="182" t="s">
        <v>145</v>
      </c>
      <c r="D161" s="22">
        <v>3</v>
      </c>
      <c r="E161" s="194">
        <f aca="true" t="shared" si="16" ref="E161:E224">IPMT(D$156/12,D161,D$158*12,D$155)</f>
        <v>1995.9363374305017</v>
      </c>
      <c r="F161" s="195">
        <f aca="true" t="shared" si="17" ref="F161:F224">PPMT($D$156/12,D161,D$158*12,D$155)</f>
        <v>206.23592970871778</v>
      </c>
      <c r="G161" s="196">
        <f aca="true" t="shared" si="18" ref="G161:G224">PMT(D$156/12,D$158*12,D$155)</f>
        <v>2202.1722671392195</v>
      </c>
    </row>
    <row r="162" spans="3:7" ht="14.25" thickBot="1" thickTop="1">
      <c r="C162" s="182" t="s">
        <v>145</v>
      </c>
      <c r="D162" s="22">
        <v>4</v>
      </c>
      <c r="E162" s="194">
        <f t="shared" si="16"/>
        <v>1993.8739781334148</v>
      </c>
      <c r="F162" s="195">
        <f t="shared" si="17"/>
        <v>208.2982890058047</v>
      </c>
      <c r="G162" s="196">
        <f t="shared" si="18"/>
        <v>2202.1722671392195</v>
      </c>
    </row>
    <row r="163" spans="3:7" ht="14.25" thickBot="1" thickTop="1">
      <c r="C163" s="182" t="s">
        <v>145</v>
      </c>
      <c r="D163" s="22">
        <v>5</v>
      </c>
      <c r="E163" s="194">
        <f t="shared" si="16"/>
        <v>1991.7909952433565</v>
      </c>
      <c r="F163" s="195">
        <f t="shared" si="17"/>
        <v>210.38127189586294</v>
      </c>
      <c r="G163" s="196">
        <f t="shared" si="18"/>
        <v>2202.1722671392195</v>
      </c>
    </row>
    <row r="164" spans="3:7" ht="14.25" thickBot="1" thickTop="1">
      <c r="C164" s="182" t="s">
        <v>145</v>
      </c>
      <c r="D164" s="22">
        <v>6</v>
      </c>
      <c r="E164" s="194">
        <f t="shared" si="16"/>
        <v>1989.687182524398</v>
      </c>
      <c r="F164" s="195">
        <f t="shared" si="17"/>
        <v>212.48508461482152</v>
      </c>
      <c r="G164" s="196">
        <f t="shared" si="18"/>
        <v>2202.1722671392195</v>
      </c>
    </row>
    <row r="165" spans="3:7" ht="14.25" thickBot="1" thickTop="1">
      <c r="C165" s="182" t="s">
        <v>145</v>
      </c>
      <c r="D165" s="22">
        <v>7</v>
      </c>
      <c r="E165" s="194">
        <f t="shared" si="16"/>
        <v>1987.5623316782498</v>
      </c>
      <c r="F165" s="195">
        <f t="shared" si="17"/>
        <v>214.6099354609696</v>
      </c>
      <c r="G165" s="196">
        <f t="shared" si="18"/>
        <v>2202.1722671392195</v>
      </c>
    </row>
    <row r="166" spans="3:7" ht="14.25" thickBot="1" thickTop="1">
      <c r="C166" s="182" t="s">
        <v>145</v>
      </c>
      <c r="D166" s="22">
        <v>8</v>
      </c>
      <c r="E166" s="194">
        <f t="shared" si="16"/>
        <v>1985.4162323236399</v>
      </c>
      <c r="F166" s="195">
        <f t="shared" si="17"/>
        <v>216.7560348155796</v>
      </c>
      <c r="G166" s="196">
        <f t="shared" si="18"/>
        <v>2202.1722671392195</v>
      </c>
    </row>
    <row r="167" spans="3:7" ht="14.25" thickBot="1" thickTop="1">
      <c r="C167" s="182" t="s">
        <v>145</v>
      </c>
      <c r="D167" s="22">
        <v>9</v>
      </c>
      <c r="E167" s="194">
        <f t="shared" si="16"/>
        <v>1983.2486719754843</v>
      </c>
      <c r="F167" s="195">
        <f t="shared" si="17"/>
        <v>218.92359516373517</v>
      </c>
      <c r="G167" s="196">
        <f t="shared" si="18"/>
        <v>2202.1722671392195</v>
      </c>
    </row>
    <row r="168" spans="3:7" ht="14.25" thickBot="1" thickTop="1">
      <c r="C168" s="182" t="s">
        <v>145</v>
      </c>
      <c r="D168" s="22">
        <v>10</v>
      </c>
      <c r="E168" s="194">
        <f t="shared" si="16"/>
        <v>1981.0594360238467</v>
      </c>
      <c r="F168" s="195">
        <f t="shared" si="17"/>
        <v>221.11283111537273</v>
      </c>
      <c r="G168" s="196">
        <f t="shared" si="18"/>
        <v>2202.1722671392195</v>
      </c>
    </row>
    <row r="169" spans="3:7" ht="14.25" thickBot="1" thickTop="1">
      <c r="C169" s="182" t="s">
        <v>145</v>
      </c>
      <c r="D169" s="22">
        <v>11</v>
      </c>
      <c r="E169" s="194">
        <f t="shared" si="16"/>
        <v>1978.8483077126932</v>
      </c>
      <c r="F169" s="195">
        <f t="shared" si="17"/>
        <v>223.32395942652624</v>
      </c>
      <c r="G169" s="196">
        <f t="shared" si="18"/>
        <v>2202.1722671392195</v>
      </c>
    </row>
    <row r="170" spans="3:7" ht="14.25" thickBot="1" thickTop="1">
      <c r="C170" s="182" t="s">
        <v>145</v>
      </c>
      <c r="D170" s="22">
        <v>12</v>
      </c>
      <c r="E170" s="194">
        <f t="shared" si="16"/>
        <v>1976.6150681184276</v>
      </c>
      <c r="F170" s="195">
        <f t="shared" si="17"/>
        <v>225.5571990207918</v>
      </c>
      <c r="G170" s="196">
        <f t="shared" si="18"/>
        <v>2202.1722671392195</v>
      </c>
    </row>
    <row r="171" spans="3:7" ht="14.25" thickBot="1" thickTop="1">
      <c r="C171" s="182" t="s">
        <v>145</v>
      </c>
      <c r="D171" s="22">
        <v>13</v>
      </c>
      <c r="E171" s="194">
        <f t="shared" si="16"/>
        <v>1974.3594961282201</v>
      </c>
      <c r="F171" s="195">
        <f t="shared" si="17"/>
        <v>227.8127710109993</v>
      </c>
      <c r="G171" s="196">
        <f t="shared" si="18"/>
        <v>2202.1722671392195</v>
      </c>
    </row>
    <row r="172" spans="3:7" ht="14.25" thickBot="1" thickTop="1">
      <c r="C172" s="182" t="s">
        <v>145</v>
      </c>
      <c r="D172" s="22">
        <v>14</v>
      </c>
      <c r="E172" s="194">
        <f t="shared" si="16"/>
        <v>1972.0813684181098</v>
      </c>
      <c r="F172" s="195">
        <f t="shared" si="17"/>
        <v>230.09089872110962</v>
      </c>
      <c r="G172" s="196">
        <f t="shared" si="18"/>
        <v>2202.1722671392195</v>
      </c>
    </row>
    <row r="173" spans="3:7" ht="14.25" thickBot="1" thickTop="1">
      <c r="C173" s="182" t="s">
        <v>145</v>
      </c>
      <c r="D173" s="22">
        <v>15</v>
      </c>
      <c r="E173" s="194">
        <f t="shared" si="16"/>
        <v>1969.7804594308989</v>
      </c>
      <c r="F173" s="195">
        <f t="shared" si="17"/>
        <v>232.39180770832058</v>
      </c>
      <c r="G173" s="196">
        <f t="shared" si="18"/>
        <v>2202.1722671392195</v>
      </c>
    </row>
    <row r="174" spans="3:7" ht="14.25" thickBot="1" thickTop="1">
      <c r="C174" s="182" t="s">
        <v>145</v>
      </c>
      <c r="D174" s="22">
        <v>16</v>
      </c>
      <c r="E174" s="194">
        <f t="shared" si="16"/>
        <v>1967.4565413538157</v>
      </c>
      <c r="F174" s="195">
        <f t="shared" si="17"/>
        <v>234.71572578540372</v>
      </c>
      <c r="G174" s="196">
        <f t="shared" si="18"/>
        <v>2202.1722671392195</v>
      </c>
    </row>
    <row r="175" spans="3:7" ht="14.25" hidden="1" outlineLevel="1" thickBot="1" thickTop="1">
      <c r="C175" s="182" t="s">
        <v>145</v>
      </c>
      <c r="D175" s="22">
        <v>17</v>
      </c>
      <c r="E175" s="194">
        <f t="shared" si="16"/>
        <v>1965.1093840959613</v>
      </c>
      <c r="F175" s="195">
        <f t="shared" si="17"/>
        <v>237.06288304325813</v>
      </c>
      <c r="G175" s="196">
        <f t="shared" si="18"/>
        <v>2202.1722671392195</v>
      </c>
    </row>
    <row r="176" spans="3:7" ht="14.25" hidden="1" outlineLevel="1" thickBot="1" thickTop="1">
      <c r="C176" s="182" t="s">
        <v>145</v>
      </c>
      <c r="D176" s="22">
        <v>18</v>
      </c>
      <c r="E176" s="194">
        <f t="shared" si="16"/>
        <v>1962.7387552655289</v>
      </c>
      <c r="F176" s="195">
        <f t="shared" si="17"/>
        <v>239.43351187369058</v>
      </c>
      <c r="G176" s="196">
        <f t="shared" si="18"/>
        <v>2202.1722671392195</v>
      </c>
    </row>
    <row r="177" spans="3:7" ht="14.25" hidden="1" outlineLevel="1" thickBot="1" thickTop="1">
      <c r="C177" s="182" t="s">
        <v>145</v>
      </c>
      <c r="D177" s="22">
        <v>19</v>
      </c>
      <c r="E177" s="194">
        <f t="shared" si="16"/>
        <v>1960.344420146792</v>
      </c>
      <c r="F177" s="195">
        <f t="shared" si="17"/>
        <v>241.82784699242757</v>
      </c>
      <c r="G177" s="196">
        <f t="shared" si="18"/>
        <v>2202.1722671392195</v>
      </c>
    </row>
    <row r="178" spans="3:7" ht="14.25" hidden="1" outlineLevel="1" thickBot="1" thickTop="1">
      <c r="C178" s="182" t="s">
        <v>145</v>
      </c>
      <c r="D178" s="22">
        <v>20</v>
      </c>
      <c r="E178" s="194">
        <f t="shared" si="16"/>
        <v>1957.926141676868</v>
      </c>
      <c r="F178" s="195">
        <f t="shared" si="17"/>
        <v>244.24612546235153</v>
      </c>
      <c r="G178" s="196">
        <f t="shared" si="18"/>
        <v>2202.1722671392195</v>
      </c>
    </row>
    <row r="179" spans="3:7" ht="14.25" hidden="1" outlineLevel="1" thickBot="1" thickTop="1">
      <c r="C179" s="182" t="s">
        <v>145</v>
      </c>
      <c r="D179" s="22">
        <v>21</v>
      </c>
      <c r="E179" s="194">
        <f t="shared" si="16"/>
        <v>1955.483680422244</v>
      </c>
      <c r="F179" s="195">
        <f t="shared" si="17"/>
        <v>246.68858671697535</v>
      </c>
      <c r="G179" s="196">
        <f t="shared" si="18"/>
        <v>2202.1722671392195</v>
      </c>
    </row>
    <row r="180" spans="3:7" ht="14.25" hidden="1" outlineLevel="1" thickBot="1" thickTop="1">
      <c r="C180" s="182" t="s">
        <v>145</v>
      </c>
      <c r="D180" s="22">
        <v>22</v>
      </c>
      <c r="E180" s="194">
        <f t="shared" si="16"/>
        <v>1953.0167945550747</v>
      </c>
      <c r="F180" s="195">
        <f t="shared" si="17"/>
        <v>249.15547258414472</v>
      </c>
      <c r="G180" s="196">
        <f t="shared" si="18"/>
        <v>2202.1722671392195</v>
      </c>
    </row>
    <row r="181" spans="3:7" ht="14.25" hidden="1" outlineLevel="1" thickBot="1" thickTop="1">
      <c r="C181" s="182" t="s">
        <v>145</v>
      </c>
      <c r="D181" s="22">
        <v>23</v>
      </c>
      <c r="E181" s="194">
        <f t="shared" si="16"/>
        <v>1950.525239829233</v>
      </c>
      <c r="F181" s="195">
        <f t="shared" si="17"/>
        <v>251.64702730998647</v>
      </c>
      <c r="G181" s="196">
        <f t="shared" si="18"/>
        <v>2202.1722671392195</v>
      </c>
    </row>
    <row r="182" spans="3:7" ht="14.25" hidden="1" outlineLevel="1" thickBot="1" thickTop="1">
      <c r="C182" s="182" t="s">
        <v>145</v>
      </c>
      <c r="D182" s="22">
        <v>24</v>
      </c>
      <c r="E182" s="194">
        <f t="shared" si="16"/>
        <v>1948.0087695561333</v>
      </c>
      <c r="F182" s="195">
        <f t="shared" si="17"/>
        <v>254.16349758308615</v>
      </c>
      <c r="G182" s="196">
        <f t="shared" si="18"/>
        <v>2202.1722671392195</v>
      </c>
    </row>
    <row r="183" spans="3:7" ht="14.25" hidden="1" outlineLevel="1" thickBot="1" thickTop="1">
      <c r="C183" s="182" t="s">
        <v>145</v>
      </c>
      <c r="D183" s="22">
        <v>25</v>
      </c>
      <c r="E183" s="194">
        <f t="shared" si="16"/>
        <v>1945.4671345803022</v>
      </c>
      <c r="F183" s="195">
        <f t="shared" si="17"/>
        <v>256.7051325589173</v>
      </c>
      <c r="G183" s="196">
        <f t="shared" si="18"/>
        <v>2202.1722671392195</v>
      </c>
    </row>
    <row r="184" spans="3:7" ht="14.25" hidden="1" outlineLevel="1" thickBot="1" thickTop="1">
      <c r="C184" s="182" t="s">
        <v>145</v>
      </c>
      <c r="D184" s="22">
        <v>26</v>
      </c>
      <c r="E184" s="194">
        <f t="shared" si="16"/>
        <v>1942.900083254713</v>
      </c>
      <c r="F184" s="195">
        <f t="shared" si="17"/>
        <v>259.2721838845064</v>
      </c>
      <c r="G184" s="196">
        <f t="shared" si="18"/>
        <v>2202.1722671392195</v>
      </c>
    </row>
    <row r="185" spans="3:7" ht="14.25" hidden="1" outlineLevel="1" thickBot="1" thickTop="1">
      <c r="C185" s="182" t="s">
        <v>145</v>
      </c>
      <c r="D185" s="22">
        <v>27</v>
      </c>
      <c r="E185" s="194">
        <f t="shared" si="16"/>
        <v>1940.307361415868</v>
      </c>
      <c r="F185" s="195">
        <f t="shared" si="17"/>
        <v>261.8649057233515</v>
      </c>
      <c r="G185" s="196">
        <f t="shared" si="18"/>
        <v>2202.1722671392195</v>
      </c>
    </row>
    <row r="186" spans="3:7" ht="14.25" hidden="1" outlineLevel="1" thickBot="1" thickTop="1">
      <c r="C186" s="182" t="s">
        <v>145</v>
      </c>
      <c r="D186" s="22">
        <v>28</v>
      </c>
      <c r="E186" s="194">
        <f t="shared" si="16"/>
        <v>1937.6887123586346</v>
      </c>
      <c r="F186" s="195">
        <f t="shared" si="17"/>
        <v>264.4835547805849</v>
      </c>
      <c r="G186" s="196">
        <f t="shared" si="18"/>
        <v>2202.1722671392195</v>
      </c>
    </row>
    <row r="187" spans="3:7" ht="14.25" hidden="1" outlineLevel="1" thickBot="1" thickTop="1">
      <c r="C187" s="182" t="s">
        <v>145</v>
      </c>
      <c r="D187" s="22">
        <v>29</v>
      </c>
      <c r="E187" s="194">
        <f t="shared" si="16"/>
        <v>1935.0438768108288</v>
      </c>
      <c r="F187" s="195">
        <f t="shared" si="17"/>
        <v>267.12839032839065</v>
      </c>
      <c r="G187" s="196">
        <f t="shared" si="18"/>
        <v>2202.1722671392195</v>
      </c>
    </row>
    <row r="188" spans="3:7" ht="14.25" hidden="1" outlineLevel="1" thickBot="1" thickTop="1">
      <c r="C188" s="182" t="s">
        <v>145</v>
      </c>
      <c r="D188" s="22">
        <v>30</v>
      </c>
      <c r="E188" s="194">
        <f t="shared" si="16"/>
        <v>1932.3725929075451</v>
      </c>
      <c r="F188" s="195">
        <f t="shared" si="17"/>
        <v>269.7996742316743</v>
      </c>
      <c r="G188" s="196">
        <f t="shared" si="18"/>
        <v>2202.1722671392195</v>
      </c>
    </row>
    <row r="189" spans="3:7" ht="14.25" hidden="1" outlineLevel="1" thickBot="1" thickTop="1">
      <c r="C189" s="182" t="s">
        <v>145</v>
      </c>
      <c r="D189" s="22">
        <v>31</v>
      </c>
      <c r="E189" s="194">
        <f t="shared" si="16"/>
        <v>1929.6745961652277</v>
      </c>
      <c r="F189" s="195">
        <f t="shared" si="17"/>
        <v>272.4976709739917</v>
      </c>
      <c r="G189" s="196">
        <f t="shared" si="18"/>
        <v>2202.1722671392195</v>
      </c>
    </row>
    <row r="190" spans="3:7" ht="14.25" hidden="1" outlineLevel="1" thickBot="1" thickTop="1">
      <c r="C190" s="182" t="s">
        <v>145</v>
      </c>
      <c r="D190" s="22">
        <v>32</v>
      </c>
      <c r="E190" s="194">
        <f t="shared" si="16"/>
        <v>1926.9496194554883</v>
      </c>
      <c r="F190" s="195">
        <f t="shared" si="17"/>
        <v>275.2226476837311</v>
      </c>
      <c r="G190" s="196">
        <f t="shared" si="18"/>
        <v>2202.1722671392195</v>
      </c>
    </row>
    <row r="191" spans="3:7" ht="14.25" hidden="1" outlineLevel="1" thickBot="1" thickTop="1">
      <c r="C191" s="182" t="s">
        <v>145</v>
      </c>
      <c r="D191" s="22">
        <v>33</v>
      </c>
      <c r="E191" s="194">
        <f t="shared" si="16"/>
        <v>1924.197392978651</v>
      </c>
      <c r="F191" s="195">
        <f t="shared" si="17"/>
        <v>277.97487416056856</v>
      </c>
      <c r="G191" s="196">
        <f t="shared" si="18"/>
        <v>2202.1722671392195</v>
      </c>
    </row>
    <row r="192" spans="3:7" ht="14.25" hidden="1" outlineLevel="1" thickBot="1" thickTop="1">
      <c r="C192" s="182" t="s">
        <v>145</v>
      </c>
      <c r="D192" s="22">
        <v>34</v>
      </c>
      <c r="E192" s="194">
        <f t="shared" si="16"/>
        <v>1921.4176442370454</v>
      </c>
      <c r="F192" s="195">
        <f t="shared" si="17"/>
        <v>280.7546229021741</v>
      </c>
      <c r="G192" s="196">
        <f t="shared" si="18"/>
        <v>2202.1722671392195</v>
      </c>
    </row>
    <row r="193" spans="3:7" ht="14.25" hidden="1" outlineLevel="1" thickBot="1" thickTop="1">
      <c r="C193" s="182" t="s">
        <v>145</v>
      </c>
      <c r="D193" s="22">
        <v>35</v>
      </c>
      <c r="E193" s="194">
        <f t="shared" si="16"/>
        <v>1918.6100980080234</v>
      </c>
      <c r="F193" s="195">
        <f t="shared" si="17"/>
        <v>283.562169131196</v>
      </c>
      <c r="G193" s="196">
        <f t="shared" si="18"/>
        <v>2202.1722671392195</v>
      </c>
    </row>
    <row r="194" spans="3:7" ht="14.25" hidden="1" outlineLevel="1" thickBot="1" thickTop="1">
      <c r="C194" s="182" t="s">
        <v>145</v>
      </c>
      <c r="D194" s="22">
        <v>36</v>
      </c>
      <c r="E194" s="194">
        <f t="shared" si="16"/>
        <v>1915.7744763167116</v>
      </c>
      <c r="F194" s="195">
        <f t="shared" si="17"/>
        <v>286.3977908225079</v>
      </c>
      <c r="G194" s="196">
        <f t="shared" si="18"/>
        <v>2202.1722671392195</v>
      </c>
    </row>
    <row r="195" spans="3:7" ht="14.25" hidden="1" outlineLevel="1" thickBot="1" thickTop="1">
      <c r="C195" s="182" t="s">
        <v>145</v>
      </c>
      <c r="D195" s="22">
        <v>37</v>
      </c>
      <c r="E195" s="194">
        <f t="shared" si="16"/>
        <v>1912.910498408486</v>
      </c>
      <c r="F195" s="195">
        <f t="shared" si="17"/>
        <v>289.26176873073337</v>
      </c>
      <c r="G195" s="196">
        <f t="shared" si="18"/>
        <v>2202.1722671392195</v>
      </c>
    </row>
    <row r="196" spans="3:7" ht="14.25" hidden="1" outlineLevel="1" thickBot="1" thickTop="1">
      <c r="C196" s="182" t="s">
        <v>145</v>
      </c>
      <c r="D196" s="22">
        <v>38</v>
      </c>
      <c r="E196" s="194">
        <f t="shared" si="16"/>
        <v>1910.017880721179</v>
      </c>
      <c r="F196" s="195">
        <f t="shared" si="17"/>
        <v>292.15438641804053</v>
      </c>
      <c r="G196" s="196">
        <f t="shared" si="18"/>
        <v>2202.1722671392195</v>
      </c>
    </row>
    <row r="197" spans="3:7" ht="14.25" hidden="1" outlineLevel="1" thickBot="1" thickTop="1">
      <c r="C197" s="182" t="s">
        <v>145</v>
      </c>
      <c r="D197" s="22">
        <v>39</v>
      </c>
      <c r="E197" s="194">
        <f t="shared" si="16"/>
        <v>1907.0963368569987</v>
      </c>
      <c r="F197" s="195">
        <f t="shared" si="17"/>
        <v>295.0759302822207</v>
      </c>
      <c r="G197" s="196">
        <f t="shared" si="18"/>
        <v>2202.1722671392195</v>
      </c>
    </row>
    <row r="198" spans="3:7" ht="14.25" hidden="1" outlineLevel="1" thickBot="1" thickTop="1">
      <c r="C198" s="182" t="s">
        <v>145</v>
      </c>
      <c r="D198" s="22">
        <v>40</v>
      </c>
      <c r="E198" s="194">
        <f t="shared" si="16"/>
        <v>1904.1455775541765</v>
      </c>
      <c r="F198" s="195">
        <f t="shared" si="17"/>
        <v>298.02668958504296</v>
      </c>
      <c r="G198" s="196">
        <f t="shared" si="18"/>
        <v>2202.1722671392195</v>
      </c>
    </row>
    <row r="199" spans="3:7" ht="14.25" hidden="1" outlineLevel="1" thickBot="1" thickTop="1">
      <c r="C199" s="182" t="s">
        <v>145</v>
      </c>
      <c r="D199" s="22">
        <v>41</v>
      </c>
      <c r="E199" s="194">
        <f t="shared" si="16"/>
        <v>1901.165310658326</v>
      </c>
      <c r="F199" s="195">
        <f t="shared" si="17"/>
        <v>301.00695648089345</v>
      </c>
      <c r="G199" s="196">
        <f t="shared" si="18"/>
        <v>2202.1722671392195</v>
      </c>
    </row>
    <row r="200" spans="3:7" ht="14.25" hidden="1" outlineLevel="1" thickBot="1" thickTop="1">
      <c r="C200" s="182" t="s">
        <v>145</v>
      </c>
      <c r="D200" s="22">
        <v>42</v>
      </c>
      <c r="E200" s="194">
        <f t="shared" si="16"/>
        <v>1898.155241093517</v>
      </c>
      <c r="F200" s="195">
        <f t="shared" si="17"/>
        <v>304.01702604570255</v>
      </c>
      <c r="G200" s="196">
        <f t="shared" si="18"/>
        <v>2202.1722671392195</v>
      </c>
    </row>
    <row r="201" spans="3:7" ht="14.25" hidden="1" outlineLevel="1" thickBot="1" thickTop="1">
      <c r="C201" s="182" t="s">
        <v>145</v>
      </c>
      <c r="D201" s="22">
        <v>43</v>
      </c>
      <c r="E201" s="194">
        <f t="shared" si="16"/>
        <v>1895.1150708330601</v>
      </c>
      <c r="F201" s="195">
        <f t="shared" si="17"/>
        <v>307.0571963061593</v>
      </c>
      <c r="G201" s="196">
        <f t="shared" si="18"/>
        <v>2202.1722671392195</v>
      </c>
    </row>
    <row r="202" spans="3:7" ht="14.25" hidden="1" outlineLevel="1" thickBot="1" thickTop="1">
      <c r="C202" s="182" t="s">
        <v>145</v>
      </c>
      <c r="D202" s="22">
        <v>44</v>
      </c>
      <c r="E202" s="194">
        <f t="shared" si="16"/>
        <v>1892.0444988699983</v>
      </c>
      <c r="F202" s="195">
        <f t="shared" si="17"/>
        <v>310.1277682692212</v>
      </c>
      <c r="G202" s="196">
        <f t="shared" si="18"/>
        <v>2202.1722671392195</v>
      </c>
    </row>
    <row r="203" spans="3:7" ht="14.25" hidden="1" outlineLevel="1" thickBot="1" thickTop="1">
      <c r="C203" s="182" t="s">
        <v>145</v>
      </c>
      <c r="D203" s="22">
        <v>45</v>
      </c>
      <c r="E203" s="194">
        <f t="shared" si="16"/>
        <v>1888.943221187306</v>
      </c>
      <c r="F203" s="195">
        <f t="shared" si="17"/>
        <v>313.22904595191335</v>
      </c>
      <c r="G203" s="196">
        <f t="shared" si="18"/>
        <v>2202.1722671392195</v>
      </c>
    </row>
    <row r="204" spans="3:7" ht="14.25" hidden="1" outlineLevel="1" thickBot="1" thickTop="1">
      <c r="C204" s="182" t="s">
        <v>145</v>
      </c>
      <c r="D204" s="22">
        <v>46</v>
      </c>
      <c r="E204" s="194">
        <f t="shared" si="16"/>
        <v>1885.8109307277869</v>
      </c>
      <c r="F204" s="195">
        <f t="shared" si="17"/>
        <v>316.3613364114326</v>
      </c>
      <c r="G204" s="196">
        <f t="shared" si="18"/>
        <v>2202.1722671392195</v>
      </c>
    </row>
    <row r="205" spans="3:7" ht="14.25" hidden="1" outlineLevel="1" thickBot="1" thickTop="1">
      <c r="C205" s="182" t="s">
        <v>145</v>
      </c>
      <c r="D205" s="22">
        <v>47</v>
      </c>
      <c r="E205" s="194">
        <f t="shared" si="16"/>
        <v>1882.6473173636728</v>
      </c>
      <c r="F205" s="195">
        <f t="shared" si="17"/>
        <v>319.5249497755467</v>
      </c>
      <c r="G205" s="196">
        <f t="shared" si="18"/>
        <v>2202.1722671392195</v>
      </c>
    </row>
    <row r="206" spans="3:7" ht="14.25" hidden="1" outlineLevel="1" thickBot="1" thickTop="1">
      <c r="C206" s="182" t="s">
        <v>145</v>
      </c>
      <c r="D206" s="22">
        <v>48</v>
      </c>
      <c r="E206" s="194">
        <f t="shared" si="16"/>
        <v>1879.4520678659173</v>
      </c>
      <c r="F206" s="195">
        <f t="shared" si="17"/>
        <v>322.7201992733021</v>
      </c>
      <c r="G206" s="196">
        <f t="shared" si="18"/>
        <v>2202.1722671392195</v>
      </c>
    </row>
    <row r="207" spans="3:7" ht="14.25" hidden="1" outlineLevel="1" thickBot="1" thickTop="1">
      <c r="C207" s="182" t="s">
        <v>145</v>
      </c>
      <c r="D207" s="22">
        <v>49</v>
      </c>
      <c r="E207" s="194">
        <f t="shared" si="16"/>
        <v>1876.2248658731842</v>
      </c>
      <c r="F207" s="195">
        <f t="shared" si="17"/>
        <v>325.9474012660353</v>
      </c>
      <c r="G207" s="196">
        <f t="shared" si="18"/>
        <v>2202.1722671392195</v>
      </c>
    </row>
    <row r="208" spans="3:7" ht="14.25" hidden="1" outlineLevel="1" thickBot="1" thickTop="1">
      <c r="C208" s="182" t="s">
        <v>145</v>
      </c>
      <c r="D208" s="22">
        <v>50</v>
      </c>
      <c r="E208" s="194">
        <f t="shared" si="16"/>
        <v>1872.965391860524</v>
      </c>
      <c r="F208" s="195">
        <f t="shared" si="17"/>
        <v>329.2068752786954</v>
      </c>
      <c r="G208" s="196">
        <f t="shared" si="18"/>
        <v>2202.1722671392195</v>
      </c>
    </row>
    <row r="209" spans="3:7" ht="14.25" hidden="1" outlineLevel="1" thickBot="1" thickTop="1">
      <c r="C209" s="182" t="s">
        <v>145</v>
      </c>
      <c r="D209" s="22">
        <v>51</v>
      </c>
      <c r="E209" s="194">
        <f t="shared" si="16"/>
        <v>1869.6733231077367</v>
      </c>
      <c r="F209" s="195">
        <f t="shared" si="17"/>
        <v>332.4989440314828</v>
      </c>
      <c r="G209" s="196">
        <f t="shared" si="18"/>
        <v>2202.1722671392195</v>
      </c>
    </row>
    <row r="210" spans="3:7" ht="14.25" hidden="1" outlineLevel="1" thickBot="1" thickTop="1">
      <c r="C210" s="182" t="s">
        <v>145</v>
      </c>
      <c r="D210" s="22">
        <v>52</v>
      </c>
      <c r="E210" s="194">
        <f t="shared" si="16"/>
        <v>1866.3483336674221</v>
      </c>
      <c r="F210" s="195">
        <f t="shared" si="17"/>
        <v>335.8239334717973</v>
      </c>
      <c r="G210" s="196">
        <f t="shared" si="18"/>
        <v>2202.1722671392195</v>
      </c>
    </row>
    <row r="211" spans="3:7" ht="14.25" hidden="1" outlineLevel="1" thickBot="1" thickTop="1">
      <c r="C211" s="182" t="s">
        <v>145</v>
      </c>
      <c r="D211" s="22">
        <v>53</v>
      </c>
      <c r="E211" s="194">
        <f t="shared" si="16"/>
        <v>1862.9900943327043</v>
      </c>
      <c r="F211" s="195">
        <f t="shared" si="17"/>
        <v>339.18217280651515</v>
      </c>
      <c r="G211" s="196">
        <f t="shared" si="18"/>
        <v>2202.1722671392195</v>
      </c>
    </row>
    <row r="212" spans="3:7" ht="14.25" hidden="1" outlineLevel="1" thickBot="1" thickTop="1">
      <c r="C212" s="182" t="s">
        <v>145</v>
      </c>
      <c r="D212" s="22">
        <v>54</v>
      </c>
      <c r="E212" s="194">
        <f t="shared" si="16"/>
        <v>1859.598272604639</v>
      </c>
      <c r="F212" s="195">
        <f t="shared" si="17"/>
        <v>342.5739945345804</v>
      </c>
      <c r="G212" s="196">
        <f t="shared" si="18"/>
        <v>2202.1722671392195</v>
      </c>
    </row>
    <row r="213" spans="3:7" ht="14.25" hidden="1" outlineLevel="1" thickBot="1" thickTop="1">
      <c r="C213" s="182" t="s">
        <v>145</v>
      </c>
      <c r="D213" s="22">
        <v>55</v>
      </c>
      <c r="E213" s="194">
        <f t="shared" si="16"/>
        <v>1856.172532659293</v>
      </c>
      <c r="F213" s="195">
        <f t="shared" si="17"/>
        <v>345.9997344799265</v>
      </c>
      <c r="G213" s="196">
        <f t="shared" si="18"/>
        <v>2202.1722671392195</v>
      </c>
    </row>
    <row r="214" spans="3:7" ht="14.25" hidden="1" outlineLevel="1" thickBot="1" thickTop="1">
      <c r="C214" s="182" t="s">
        <v>145</v>
      </c>
      <c r="D214" s="22">
        <v>56</v>
      </c>
      <c r="E214" s="194">
        <f t="shared" si="16"/>
        <v>1852.7125353144938</v>
      </c>
      <c r="F214" s="195">
        <f t="shared" si="17"/>
        <v>349.4597318247256</v>
      </c>
      <c r="G214" s="196">
        <f t="shared" si="18"/>
        <v>2202.1722671392195</v>
      </c>
    </row>
    <row r="215" spans="3:7" ht="14.25" hidden="1" outlineLevel="1" thickBot="1" thickTop="1">
      <c r="C215" s="182" t="s">
        <v>145</v>
      </c>
      <c r="D215" s="22">
        <v>57</v>
      </c>
      <c r="E215" s="194">
        <f t="shared" si="16"/>
        <v>1849.2179379962463</v>
      </c>
      <c r="F215" s="195">
        <f t="shared" si="17"/>
        <v>352.95432914297317</v>
      </c>
      <c r="G215" s="196">
        <f t="shared" si="18"/>
        <v>2202.1722671392195</v>
      </c>
    </row>
    <row r="216" spans="3:7" ht="14.25" hidden="1" outlineLevel="1" thickBot="1" thickTop="1">
      <c r="C216" s="182" t="s">
        <v>145</v>
      </c>
      <c r="D216" s="22">
        <v>58</v>
      </c>
      <c r="E216" s="194">
        <f t="shared" si="16"/>
        <v>1845.6883947048166</v>
      </c>
      <c r="F216" s="195">
        <f t="shared" si="17"/>
        <v>356.4838724344029</v>
      </c>
      <c r="G216" s="196">
        <f t="shared" si="18"/>
        <v>2202.1722671392195</v>
      </c>
    </row>
    <row r="217" spans="3:7" ht="14.25" hidden="1" outlineLevel="1" thickBot="1" thickTop="1">
      <c r="C217" s="182" t="s">
        <v>145</v>
      </c>
      <c r="D217" s="22">
        <v>59</v>
      </c>
      <c r="E217" s="194">
        <f t="shared" si="16"/>
        <v>1842.123555980473</v>
      </c>
      <c r="F217" s="195">
        <f t="shared" si="17"/>
        <v>360.0487111587465</v>
      </c>
      <c r="G217" s="196">
        <f t="shared" si="18"/>
        <v>2202.1722671392195</v>
      </c>
    </row>
    <row r="218" spans="3:7" ht="14.25" hidden="1" outlineLevel="1" thickBot="1" thickTop="1">
      <c r="C218" s="182" t="s">
        <v>145</v>
      </c>
      <c r="D218" s="22">
        <v>60</v>
      </c>
      <c r="E218" s="194">
        <f t="shared" si="16"/>
        <v>1838.5230688688853</v>
      </c>
      <c r="F218" s="195">
        <f t="shared" si="17"/>
        <v>363.6491982703342</v>
      </c>
      <c r="G218" s="196">
        <f t="shared" si="18"/>
        <v>2202.1722671392195</v>
      </c>
    </row>
    <row r="219" spans="3:7" ht="14.25" hidden="1" outlineLevel="1" thickBot="1" thickTop="1">
      <c r="C219" s="182" t="s">
        <v>145</v>
      </c>
      <c r="D219" s="22">
        <v>61</v>
      </c>
      <c r="E219" s="194">
        <f t="shared" si="16"/>
        <v>1834.886576886182</v>
      </c>
      <c r="F219" s="195">
        <f t="shared" si="17"/>
        <v>367.2856902530375</v>
      </c>
      <c r="G219" s="196">
        <f t="shared" si="18"/>
        <v>2202.1722671392195</v>
      </c>
    </row>
    <row r="220" spans="3:7" ht="14.25" hidden="1" outlineLevel="1" thickBot="1" thickTop="1">
      <c r="C220" s="182" t="s">
        <v>145</v>
      </c>
      <c r="D220" s="22">
        <v>62</v>
      </c>
      <c r="E220" s="194">
        <f t="shared" si="16"/>
        <v>1831.2137199836518</v>
      </c>
      <c r="F220" s="195">
        <f t="shared" si="17"/>
        <v>370.95854715556766</v>
      </c>
      <c r="G220" s="196">
        <f t="shared" si="18"/>
        <v>2202.1722671392195</v>
      </c>
    </row>
    <row r="221" spans="3:7" ht="14.25" hidden="1" outlineLevel="1" thickBot="1" thickTop="1">
      <c r="C221" s="182" t="s">
        <v>145</v>
      </c>
      <c r="D221" s="22">
        <v>63</v>
      </c>
      <c r="E221" s="194">
        <f t="shared" si="16"/>
        <v>1827.5041345120956</v>
      </c>
      <c r="F221" s="195">
        <f t="shared" si="17"/>
        <v>374.6681326271239</v>
      </c>
      <c r="G221" s="196">
        <f t="shared" si="18"/>
        <v>2202.1722671392195</v>
      </c>
    </row>
    <row r="222" spans="3:7" ht="14.25" hidden="1" outlineLevel="1" thickBot="1" thickTop="1">
      <c r="C222" s="182" t="s">
        <v>145</v>
      </c>
      <c r="D222" s="22">
        <v>64</v>
      </c>
      <c r="E222" s="194">
        <f t="shared" si="16"/>
        <v>1823.757453185825</v>
      </c>
      <c r="F222" s="195">
        <f t="shared" si="17"/>
        <v>378.4148139533945</v>
      </c>
      <c r="G222" s="196">
        <f t="shared" si="18"/>
        <v>2202.1722671392195</v>
      </c>
    </row>
    <row r="223" spans="3:7" ht="14.25" hidden="1" outlineLevel="1" thickBot="1" thickTop="1">
      <c r="C223" s="182" t="s">
        <v>145</v>
      </c>
      <c r="D223" s="22">
        <v>65</v>
      </c>
      <c r="E223" s="194">
        <f t="shared" si="16"/>
        <v>1819.9733050462908</v>
      </c>
      <c r="F223" s="195">
        <f t="shared" si="17"/>
        <v>382.1989620929287</v>
      </c>
      <c r="G223" s="196">
        <f t="shared" si="18"/>
        <v>2202.1722671392195</v>
      </c>
    </row>
    <row r="224" spans="3:7" ht="14.25" hidden="1" outlineLevel="1" thickBot="1" thickTop="1">
      <c r="C224" s="182" t="s">
        <v>145</v>
      </c>
      <c r="D224" s="22">
        <v>66</v>
      </c>
      <c r="E224" s="194">
        <f t="shared" si="16"/>
        <v>1816.1513154253614</v>
      </c>
      <c r="F224" s="195">
        <f t="shared" si="17"/>
        <v>386.02095171385804</v>
      </c>
      <c r="G224" s="196">
        <f t="shared" si="18"/>
        <v>2202.1722671392195</v>
      </c>
    </row>
    <row r="225" spans="3:7" ht="14.25" hidden="1" outlineLevel="1" thickBot="1" thickTop="1">
      <c r="C225" s="182" t="s">
        <v>145</v>
      </c>
      <c r="D225" s="22">
        <v>67</v>
      </c>
      <c r="E225" s="194">
        <f aca="true" t="shared" si="19" ref="E225:E288">IPMT(D$156/12,D225,D$158*12,D$155)</f>
        <v>1812.2911059082228</v>
      </c>
      <c r="F225" s="195">
        <f aca="true" t="shared" si="20" ref="F225:F288">PPMT($D$156/12,D225,D$158*12,D$155)</f>
        <v>389.88116123099667</v>
      </c>
      <c r="G225" s="196">
        <f aca="true" t="shared" si="21" ref="G225:G288">PMT(D$156/12,D$158*12,D$155)</f>
        <v>2202.1722671392195</v>
      </c>
    </row>
    <row r="226" spans="3:7" ht="14.25" hidden="1" outlineLevel="1" thickBot="1" thickTop="1">
      <c r="C226" s="182" t="s">
        <v>145</v>
      </c>
      <c r="D226" s="22">
        <v>68</v>
      </c>
      <c r="E226" s="194">
        <f t="shared" si="19"/>
        <v>1808.392294295913</v>
      </c>
      <c r="F226" s="195">
        <f t="shared" si="20"/>
        <v>393.7799728433065</v>
      </c>
      <c r="G226" s="196">
        <f t="shared" si="21"/>
        <v>2202.1722671392195</v>
      </c>
    </row>
    <row r="227" spans="3:7" ht="14.25" hidden="1" outlineLevel="1" thickBot="1" thickTop="1">
      <c r="C227" s="182" t="s">
        <v>145</v>
      </c>
      <c r="D227" s="22">
        <v>69</v>
      </c>
      <c r="E227" s="194">
        <f t="shared" si="19"/>
        <v>1804.45449456748</v>
      </c>
      <c r="F227" s="195">
        <f t="shared" si="20"/>
        <v>397.7177725717395</v>
      </c>
      <c r="G227" s="196">
        <f t="shared" si="21"/>
        <v>2202.1722671392195</v>
      </c>
    </row>
    <row r="228" spans="3:7" ht="14.25" hidden="1" outlineLevel="1" thickBot="1" thickTop="1">
      <c r="C228" s="182" t="s">
        <v>145</v>
      </c>
      <c r="D228" s="22">
        <v>70</v>
      </c>
      <c r="E228" s="194">
        <f t="shared" si="19"/>
        <v>1800.4773168417626</v>
      </c>
      <c r="F228" s="195">
        <f t="shared" si="20"/>
        <v>401.6949502974569</v>
      </c>
      <c r="G228" s="196">
        <f t="shared" si="21"/>
        <v>2202.1722671392195</v>
      </c>
    </row>
    <row r="229" spans="3:7" ht="14.25" hidden="1" outlineLevel="1" thickBot="1" thickTop="1">
      <c r="C229" s="182" t="s">
        <v>145</v>
      </c>
      <c r="D229" s="22">
        <v>71</v>
      </c>
      <c r="E229" s="194">
        <f t="shared" si="19"/>
        <v>1796.4603673387878</v>
      </c>
      <c r="F229" s="195">
        <f t="shared" si="20"/>
        <v>405.71189980043164</v>
      </c>
      <c r="G229" s="196">
        <f t="shared" si="21"/>
        <v>2202.1722671392195</v>
      </c>
    </row>
    <row r="230" spans="3:7" ht="14.25" hidden="1" outlineLevel="1" thickBot="1" thickTop="1">
      <c r="C230" s="182" t="s">
        <v>145</v>
      </c>
      <c r="D230" s="22">
        <v>72</v>
      </c>
      <c r="E230" s="194">
        <f t="shared" si="19"/>
        <v>1792.403248340784</v>
      </c>
      <c r="F230" s="195">
        <f t="shared" si="20"/>
        <v>409.76901879843535</v>
      </c>
      <c r="G230" s="196">
        <f t="shared" si="21"/>
        <v>2202.1722671392195</v>
      </c>
    </row>
    <row r="231" spans="3:7" ht="14.25" hidden="1" outlineLevel="1" thickBot="1" thickTop="1">
      <c r="C231" s="182" t="s">
        <v>145</v>
      </c>
      <c r="D231" s="22">
        <v>73</v>
      </c>
      <c r="E231" s="194">
        <f t="shared" si="19"/>
        <v>1788.3055581527988</v>
      </c>
      <c r="F231" s="195">
        <f t="shared" si="20"/>
        <v>413.8667089864207</v>
      </c>
      <c r="G231" s="196">
        <f t="shared" si="21"/>
        <v>2202.1722671392195</v>
      </c>
    </row>
    <row r="232" spans="3:7" ht="14.25" hidden="1" outlineLevel="1" thickBot="1" thickTop="1">
      <c r="C232" s="182" t="s">
        <v>145</v>
      </c>
      <c r="D232" s="22">
        <v>74</v>
      </c>
      <c r="E232" s="194">
        <f t="shared" si="19"/>
        <v>1784.1668910629348</v>
      </c>
      <c r="F232" s="195">
        <f t="shared" si="20"/>
        <v>418.0053760762846</v>
      </c>
      <c r="G232" s="196">
        <f t="shared" si="21"/>
        <v>2202.1722671392195</v>
      </c>
    </row>
    <row r="233" spans="3:7" ht="14.25" hidden="1" outlineLevel="1" thickBot="1" thickTop="1">
      <c r="C233" s="182" t="s">
        <v>145</v>
      </c>
      <c r="D233" s="22">
        <v>75</v>
      </c>
      <c r="E233" s="194">
        <f t="shared" si="19"/>
        <v>1779.986837302172</v>
      </c>
      <c r="F233" s="195">
        <f t="shared" si="20"/>
        <v>422.1854298370474</v>
      </c>
      <c r="G233" s="196">
        <f t="shared" si="21"/>
        <v>2202.1722671392195</v>
      </c>
    </row>
    <row r="234" spans="3:7" ht="14.25" hidden="1" outlineLevel="1" thickBot="1" thickTop="1">
      <c r="C234" s="182" t="s">
        <v>145</v>
      </c>
      <c r="D234" s="22">
        <v>76</v>
      </c>
      <c r="E234" s="194">
        <f t="shared" si="19"/>
        <v>1775.7649830038013</v>
      </c>
      <c r="F234" s="195">
        <f t="shared" si="20"/>
        <v>426.4072841354182</v>
      </c>
      <c r="G234" s="196">
        <f t="shared" si="21"/>
        <v>2202.1722671392195</v>
      </c>
    </row>
    <row r="235" spans="3:7" ht="14.25" hidden="1" outlineLevel="1" thickBot="1" thickTop="1">
      <c r="C235" s="182" t="s">
        <v>145</v>
      </c>
      <c r="D235" s="22">
        <v>77</v>
      </c>
      <c r="E235" s="194">
        <f t="shared" si="19"/>
        <v>1771.5009101624473</v>
      </c>
      <c r="F235" s="195">
        <f t="shared" si="20"/>
        <v>430.67135697677213</v>
      </c>
      <c r="G235" s="196">
        <f t="shared" si="21"/>
        <v>2202.1722671392195</v>
      </c>
    </row>
    <row r="236" spans="3:7" ht="14.25" hidden="1" outlineLevel="1" thickBot="1" thickTop="1">
      <c r="C236" s="182" t="s">
        <v>145</v>
      </c>
      <c r="D236" s="22">
        <v>78</v>
      </c>
      <c r="E236" s="194">
        <f t="shared" si="19"/>
        <v>1767.1941965926796</v>
      </c>
      <c r="F236" s="195">
        <f t="shared" si="20"/>
        <v>434.9780705465398</v>
      </c>
      <c r="G236" s="196">
        <f t="shared" si="21"/>
        <v>2202.1722671392195</v>
      </c>
    </row>
    <row r="237" spans="3:7" ht="14.25" hidden="1" outlineLevel="1" thickBot="1" thickTop="1">
      <c r="C237" s="182" t="s">
        <v>145</v>
      </c>
      <c r="D237" s="22">
        <v>79</v>
      </c>
      <c r="E237" s="194">
        <f t="shared" si="19"/>
        <v>1762.844415887214</v>
      </c>
      <c r="F237" s="195">
        <f t="shared" si="20"/>
        <v>439.32785125200553</v>
      </c>
      <c r="G237" s="196">
        <f t="shared" si="21"/>
        <v>2202.1722671392195</v>
      </c>
    </row>
    <row r="238" spans="3:7" ht="14.25" hidden="1" outlineLevel="1" thickBot="1" thickTop="1">
      <c r="C238" s="182" t="s">
        <v>145</v>
      </c>
      <c r="D238" s="22">
        <v>80</v>
      </c>
      <c r="E238" s="194">
        <f t="shared" si="19"/>
        <v>1758.4511373746943</v>
      </c>
      <c r="F238" s="195">
        <f t="shared" si="20"/>
        <v>443.72112976452513</v>
      </c>
      <c r="G238" s="196">
        <f t="shared" si="21"/>
        <v>2202.1722671392195</v>
      </c>
    </row>
    <row r="239" spans="3:7" ht="14.25" hidden="1" outlineLevel="1" thickBot="1" thickTop="1">
      <c r="C239" s="182" t="s">
        <v>145</v>
      </c>
      <c r="D239" s="22">
        <v>81</v>
      </c>
      <c r="E239" s="194">
        <f t="shared" si="19"/>
        <v>1754.013926077049</v>
      </c>
      <c r="F239" s="195">
        <f t="shared" si="20"/>
        <v>448.1583410621704</v>
      </c>
      <c r="G239" s="196">
        <f t="shared" si="21"/>
        <v>2202.1722671392195</v>
      </c>
    </row>
    <row r="240" spans="3:7" ht="14.25" hidden="1" outlineLevel="1" thickBot="1" thickTop="1">
      <c r="C240" s="182" t="s">
        <v>145</v>
      </c>
      <c r="D240" s="22">
        <v>82</v>
      </c>
      <c r="E240" s="194">
        <f t="shared" si="19"/>
        <v>1749.5323426664272</v>
      </c>
      <c r="F240" s="195">
        <f t="shared" si="20"/>
        <v>452.63992447279225</v>
      </c>
      <c r="G240" s="196">
        <f t="shared" si="21"/>
        <v>2202.1722671392195</v>
      </c>
    </row>
    <row r="241" spans="3:7" ht="14.25" hidden="1" outlineLevel="1" thickBot="1" thickTop="1">
      <c r="C241" s="182" t="s">
        <v>145</v>
      </c>
      <c r="D241" s="22">
        <v>83</v>
      </c>
      <c r="E241" s="194">
        <f t="shared" si="19"/>
        <v>1745.0059434216994</v>
      </c>
      <c r="F241" s="195">
        <f t="shared" si="20"/>
        <v>457.1663237175201</v>
      </c>
      <c r="G241" s="196">
        <f t="shared" si="21"/>
        <v>2202.1722671392195</v>
      </c>
    </row>
    <row r="242" spans="3:7" ht="14.25" hidden="1" outlineLevel="1" thickBot="1" thickTop="1">
      <c r="C242" s="182" t="s">
        <v>145</v>
      </c>
      <c r="D242" s="22">
        <v>84</v>
      </c>
      <c r="E242" s="194">
        <f t="shared" si="19"/>
        <v>1740.4342801845237</v>
      </c>
      <c r="F242" s="195">
        <f t="shared" si="20"/>
        <v>461.73798695469577</v>
      </c>
      <c r="G242" s="196">
        <f t="shared" si="21"/>
        <v>2202.1722671392195</v>
      </c>
    </row>
    <row r="243" spans="3:7" ht="14.25" hidden="1" outlineLevel="1" thickBot="1" thickTop="1">
      <c r="C243" s="182" t="s">
        <v>145</v>
      </c>
      <c r="D243" s="22">
        <v>85</v>
      </c>
      <c r="E243" s="194">
        <f t="shared" si="19"/>
        <v>1735.816900314977</v>
      </c>
      <c r="F243" s="195">
        <f t="shared" si="20"/>
        <v>466.35536682424254</v>
      </c>
      <c r="G243" s="196">
        <f t="shared" si="21"/>
        <v>2202.1722671392195</v>
      </c>
    </row>
    <row r="244" spans="3:7" ht="14.25" hidden="1" outlineLevel="1" thickBot="1" thickTop="1">
      <c r="C244" s="182" t="s">
        <v>145</v>
      </c>
      <c r="D244" s="22">
        <v>86</v>
      </c>
      <c r="E244" s="194">
        <f t="shared" si="19"/>
        <v>1731.153346646735</v>
      </c>
      <c r="F244" s="195">
        <f t="shared" si="20"/>
        <v>471.01892049248454</v>
      </c>
      <c r="G244" s="196">
        <f t="shared" si="21"/>
        <v>2202.1722671392195</v>
      </c>
    </row>
    <row r="245" spans="3:7" ht="14.25" hidden="1" outlineLevel="1" thickBot="1" thickTop="1">
      <c r="C245" s="182" t="s">
        <v>145</v>
      </c>
      <c r="D245" s="22">
        <v>87</v>
      </c>
      <c r="E245" s="194">
        <f t="shared" si="19"/>
        <v>1726.44315744181</v>
      </c>
      <c r="F245" s="195">
        <f t="shared" si="20"/>
        <v>475.7291096974095</v>
      </c>
      <c r="G245" s="196">
        <f t="shared" si="21"/>
        <v>2202.1722671392195</v>
      </c>
    </row>
    <row r="246" spans="3:7" ht="14.25" hidden="1" outlineLevel="1" thickBot="1" thickTop="1">
      <c r="C246" s="182" t="s">
        <v>145</v>
      </c>
      <c r="D246" s="22">
        <v>88</v>
      </c>
      <c r="E246" s="194">
        <f t="shared" si="19"/>
        <v>1721.685866344836</v>
      </c>
      <c r="F246" s="195">
        <f t="shared" si="20"/>
        <v>480.48640079438337</v>
      </c>
      <c r="G246" s="196">
        <f t="shared" si="21"/>
        <v>2202.1722671392195</v>
      </c>
    </row>
    <row r="247" spans="3:7" ht="14.25" hidden="1" outlineLevel="1" thickBot="1" thickTop="1">
      <c r="C247" s="182" t="s">
        <v>145</v>
      </c>
      <c r="D247" s="22">
        <v>89</v>
      </c>
      <c r="E247" s="194">
        <f t="shared" si="19"/>
        <v>1716.881002336892</v>
      </c>
      <c r="F247" s="195">
        <f t="shared" si="20"/>
        <v>485.29126480232753</v>
      </c>
      <c r="G247" s="196">
        <f t="shared" si="21"/>
        <v>2202.1722671392195</v>
      </c>
    </row>
    <row r="248" spans="3:7" ht="14.25" hidden="1" outlineLevel="1" thickBot="1" thickTop="1">
      <c r="C248" s="182" t="s">
        <v>145</v>
      </c>
      <c r="D248" s="22">
        <v>90</v>
      </c>
      <c r="E248" s="194">
        <f t="shared" si="19"/>
        <v>1712.0280896888685</v>
      </c>
      <c r="F248" s="195">
        <f t="shared" si="20"/>
        <v>490.144177450351</v>
      </c>
      <c r="G248" s="196">
        <f t="shared" si="21"/>
        <v>2202.1722671392195</v>
      </c>
    </row>
    <row r="249" spans="3:7" ht="14.25" hidden="1" outlineLevel="1" thickBot="1" thickTop="1">
      <c r="C249" s="182" t="s">
        <v>145</v>
      </c>
      <c r="D249" s="22">
        <v>91</v>
      </c>
      <c r="E249" s="194">
        <f t="shared" si="19"/>
        <v>1707.126647914365</v>
      </c>
      <c r="F249" s="195">
        <f t="shared" si="20"/>
        <v>495.04561922485436</v>
      </c>
      <c r="G249" s="196">
        <f t="shared" si="21"/>
        <v>2202.1722671392195</v>
      </c>
    </row>
    <row r="250" spans="3:7" ht="14.25" hidden="1" outlineLevel="1" thickBot="1" thickTop="1">
      <c r="C250" s="182" t="s">
        <v>145</v>
      </c>
      <c r="D250" s="22">
        <v>92</v>
      </c>
      <c r="E250" s="194">
        <f t="shared" si="19"/>
        <v>1702.1761917221168</v>
      </c>
      <c r="F250" s="195">
        <f t="shared" si="20"/>
        <v>499.9960754171027</v>
      </c>
      <c r="G250" s="196">
        <f t="shared" si="21"/>
        <v>2202.1722671392195</v>
      </c>
    </row>
    <row r="251" spans="3:7" ht="14.25" hidden="1" outlineLevel="1" thickBot="1" thickTop="1">
      <c r="C251" s="182" t="s">
        <v>145</v>
      </c>
      <c r="D251" s="22">
        <v>93</v>
      </c>
      <c r="E251" s="194">
        <f t="shared" si="19"/>
        <v>1697.1762309679452</v>
      </c>
      <c r="F251" s="195">
        <f t="shared" si="20"/>
        <v>504.9960361712742</v>
      </c>
      <c r="G251" s="196">
        <f t="shared" si="21"/>
        <v>2202.1722671392195</v>
      </c>
    </row>
    <row r="252" spans="3:7" ht="14.25" hidden="1" outlineLevel="1" thickBot="1" thickTop="1">
      <c r="C252" s="182" t="s">
        <v>145</v>
      </c>
      <c r="D252" s="22">
        <v>94</v>
      </c>
      <c r="E252" s="194">
        <f t="shared" si="19"/>
        <v>1692.1262706062332</v>
      </c>
      <c r="F252" s="195">
        <f t="shared" si="20"/>
        <v>510.04599653298624</v>
      </c>
      <c r="G252" s="196">
        <f t="shared" si="21"/>
        <v>2202.1722671392195</v>
      </c>
    </row>
    <row r="253" spans="3:7" ht="14.25" hidden="1" outlineLevel="1" thickBot="1" thickTop="1">
      <c r="C253" s="182" t="s">
        <v>145</v>
      </c>
      <c r="D253" s="22">
        <v>95</v>
      </c>
      <c r="E253" s="194">
        <f t="shared" si="19"/>
        <v>1687.0258106409026</v>
      </c>
      <c r="F253" s="195">
        <f t="shared" si="20"/>
        <v>515.1464564983169</v>
      </c>
      <c r="G253" s="196">
        <f t="shared" si="21"/>
        <v>2202.1722671392195</v>
      </c>
    </row>
    <row r="254" spans="3:7" ht="14.25" hidden="1" outlineLevel="1" thickBot="1" thickTop="1">
      <c r="C254" s="182" t="s">
        <v>145</v>
      </c>
      <c r="D254" s="22">
        <v>96</v>
      </c>
      <c r="E254" s="194">
        <f t="shared" si="19"/>
        <v>1681.8743460759194</v>
      </c>
      <c r="F254" s="195">
        <f t="shared" si="20"/>
        <v>520.2979210633</v>
      </c>
      <c r="G254" s="196">
        <f t="shared" si="21"/>
        <v>2202.1722671392195</v>
      </c>
    </row>
    <row r="255" spans="3:7" ht="14.25" hidden="1" outlineLevel="1" thickBot="1" thickTop="1">
      <c r="C255" s="182" t="s">
        <v>145</v>
      </c>
      <c r="D255" s="22">
        <v>97</v>
      </c>
      <c r="E255" s="194">
        <f t="shared" si="19"/>
        <v>1676.671366865287</v>
      </c>
      <c r="F255" s="195">
        <f t="shared" si="20"/>
        <v>525.5009002739325</v>
      </c>
      <c r="G255" s="196">
        <f t="shared" si="21"/>
        <v>2202.1722671392195</v>
      </c>
    </row>
    <row r="256" spans="3:7" ht="14.25" hidden="1" outlineLevel="1" thickBot="1" thickTop="1">
      <c r="C256" s="182" t="s">
        <v>145</v>
      </c>
      <c r="D256" s="22">
        <v>98</v>
      </c>
      <c r="E256" s="194">
        <f t="shared" si="19"/>
        <v>1671.4163578625478</v>
      </c>
      <c r="F256" s="195">
        <f t="shared" si="20"/>
        <v>530.7559092766717</v>
      </c>
      <c r="G256" s="196">
        <f t="shared" si="21"/>
        <v>2202.1722671392195</v>
      </c>
    </row>
    <row r="257" spans="3:7" ht="14.25" hidden="1" outlineLevel="1" thickBot="1" thickTop="1">
      <c r="C257" s="182" t="s">
        <v>145</v>
      </c>
      <c r="D257" s="22">
        <v>99</v>
      </c>
      <c r="E257" s="194">
        <f t="shared" si="19"/>
        <v>1666.108798769781</v>
      </c>
      <c r="F257" s="195">
        <f t="shared" si="20"/>
        <v>536.0634683694384</v>
      </c>
      <c r="G257" s="196">
        <f t="shared" si="21"/>
        <v>2202.1722671392195</v>
      </c>
    </row>
    <row r="258" spans="3:7" ht="14.25" hidden="1" outlineLevel="1" thickBot="1" thickTop="1">
      <c r="C258" s="182" t="s">
        <v>145</v>
      </c>
      <c r="D258" s="22">
        <v>100</v>
      </c>
      <c r="E258" s="194">
        <f t="shared" si="19"/>
        <v>1660.748164086087</v>
      </c>
      <c r="F258" s="195">
        <f t="shared" si="20"/>
        <v>541.4241030531325</v>
      </c>
      <c r="G258" s="196">
        <f t="shared" si="21"/>
        <v>2202.1722671392195</v>
      </c>
    </row>
    <row r="259" spans="3:7" ht="14.25" hidden="1" outlineLevel="1" thickBot="1" thickTop="1">
      <c r="C259" s="182" t="s">
        <v>145</v>
      </c>
      <c r="D259" s="22">
        <v>101</v>
      </c>
      <c r="E259" s="194">
        <f t="shared" si="19"/>
        <v>1655.3339230555553</v>
      </c>
      <c r="F259" s="195">
        <f t="shared" si="20"/>
        <v>546.8383440836642</v>
      </c>
      <c r="G259" s="196">
        <f t="shared" si="21"/>
        <v>2202.1722671392195</v>
      </c>
    </row>
    <row r="260" spans="3:7" ht="14.25" hidden="1" outlineLevel="1" thickBot="1" thickTop="1">
      <c r="C260" s="182" t="s">
        <v>145</v>
      </c>
      <c r="D260" s="22">
        <v>102</v>
      </c>
      <c r="E260" s="194">
        <f t="shared" si="19"/>
        <v>1649.8655396147183</v>
      </c>
      <c r="F260" s="195">
        <f t="shared" si="20"/>
        <v>552.3067275245012</v>
      </c>
      <c r="G260" s="196">
        <f t="shared" si="21"/>
        <v>2202.1722671392195</v>
      </c>
    </row>
    <row r="261" spans="3:7" ht="14.25" hidden="1" outlineLevel="1" thickBot="1" thickTop="1">
      <c r="C261" s="182" t="s">
        <v>145</v>
      </c>
      <c r="D261" s="22">
        <v>103</v>
      </c>
      <c r="E261" s="194">
        <f t="shared" si="19"/>
        <v>1644.342472339474</v>
      </c>
      <c r="F261" s="195">
        <f t="shared" si="20"/>
        <v>557.8297947997455</v>
      </c>
      <c r="G261" s="196">
        <f t="shared" si="21"/>
        <v>2202.1722671392195</v>
      </c>
    </row>
    <row r="262" spans="3:7" ht="14.25" hidden="1" outlineLevel="1" thickBot="1" thickTop="1">
      <c r="C262" s="182" t="s">
        <v>145</v>
      </c>
      <c r="D262" s="22">
        <v>104</v>
      </c>
      <c r="E262" s="194">
        <f t="shared" si="19"/>
        <v>1638.7641743914767</v>
      </c>
      <c r="F262" s="195">
        <f t="shared" si="20"/>
        <v>563.4080927477428</v>
      </c>
      <c r="G262" s="196">
        <f t="shared" si="21"/>
        <v>2202.1722671392195</v>
      </c>
    </row>
    <row r="263" spans="3:7" ht="14.25" hidden="1" outlineLevel="1" thickBot="1" thickTop="1">
      <c r="C263" s="182" t="s">
        <v>145</v>
      </c>
      <c r="D263" s="22">
        <v>105</v>
      </c>
      <c r="E263" s="194">
        <f t="shared" si="19"/>
        <v>1633.1300934639987</v>
      </c>
      <c r="F263" s="195">
        <f t="shared" si="20"/>
        <v>569.0421736752207</v>
      </c>
      <c r="G263" s="196">
        <f t="shared" si="21"/>
        <v>2202.1722671392195</v>
      </c>
    </row>
    <row r="264" spans="3:7" ht="14.25" hidden="1" outlineLevel="1" thickBot="1" thickTop="1">
      <c r="C264" s="182" t="s">
        <v>145</v>
      </c>
      <c r="D264" s="22">
        <v>106</v>
      </c>
      <c r="E264" s="194">
        <f t="shared" si="19"/>
        <v>1627.4396717272466</v>
      </c>
      <c r="F264" s="195">
        <f t="shared" si="20"/>
        <v>574.7325954119729</v>
      </c>
      <c r="G264" s="196">
        <f t="shared" si="21"/>
        <v>2202.1722671392195</v>
      </c>
    </row>
    <row r="265" spans="3:7" ht="14.25" hidden="1" outlineLevel="1" thickBot="1" thickTop="1">
      <c r="C265" s="182" t="s">
        <v>145</v>
      </c>
      <c r="D265" s="22">
        <v>107</v>
      </c>
      <c r="E265" s="194">
        <f t="shared" si="19"/>
        <v>1621.6923457731266</v>
      </c>
      <c r="F265" s="195">
        <f t="shared" si="20"/>
        <v>580.4799213660929</v>
      </c>
      <c r="G265" s="196">
        <f t="shared" si="21"/>
        <v>2202.1722671392195</v>
      </c>
    </row>
    <row r="266" spans="3:7" ht="14.25" hidden="1" outlineLevel="1" thickBot="1" thickTop="1">
      <c r="C266" s="182" t="s">
        <v>145</v>
      </c>
      <c r="D266" s="22">
        <v>108</v>
      </c>
      <c r="E266" s="194">
        <f t="shared" si="19"/>
        <v>1615.8875465594658</v>
      </c>
      <c r="F266" s="195">
        <f t="shared" si="20"/>
        <v>586.2847205797536</v>
      </c>
      <c r="G266" s="196">
        <f t="shared" si="21"/>
        <v>2202.1722671392195</v>
      </c>
    </row>
    <row r="267" spans="3:7" ht="14.25" hidden="1" outlineLevel="1" thickBot="1" thickTop="1">
      <c r="C267" s="182" t="s">
        <v>145</v>
      </c>
      <c r="D267" s="22">
        <v>109</v>
      </c>
      <c r="E267" s="194">
        <f t="shared" si="19"/>
        <v>1610.0246993536678</v>
      </c>
      <c r="F267" s="195">
        <f t="shared" si="20"/>
        <v>592.1475677855517</v>
      </c>
      <c r="G267" s="196">
        <f t="shared" si="21"/>
        <v>2202.1722671392195</v>
      </c>
    </row>
    <row r="268" spans="3:7" ht="14.25" hidden="1" outlineLevel="1" thickBot="1" thickTop="1">
      <c r="C268" s="182" t="s">
        <v>145</v>
      </c>
      <c r="D268" s="22">
        <v>110</v>
      </c>
      <c r="E268" s="194">
        <f t="shared" si="19"/>
        <v>1604.1032236758126</v>
      </c>
      <c r="F268" s="195">
        <f t="shared" si="20"/>
        <v>598.0690434634068</v>
      </c>
      <c r="G268" s="196">
        <f t="shared" si="21"/>
        <v>2202.1722671392195</v>
      </c>
    </row>
    <row r="269" spans="3:7" ht="14.25" hidden="1" outlineLevel="1" thickBot="1" thickTop="1">
      <c r="C269" s="182" t="s">
        <v>145</v>
      </c>
      <c r="D269" s="22">
        <v>111</v>
      </c>
      <c r="E269" s="194">
        <f t="shared" si="19"/>
        <v>1598.1225332411793</v>
      </c>
      <c r="F269" s="195">
        <f t="shared" si="20"/>
        <v>604.0497338980401</v>
      </c>
      <c r="G269" s="196">
        <f t="shared" si="21"/>
        <v>2202.1722671392195</v>
      </c>
    </row>
    <row r="270" spans="3:7" ht="14.25" hidden="1" outlineLevel="1" thickBot="1" thickTop="1">
      <c r="C270" s="182" t="s">
        <v>145</v>
      </c>
      <c r="D270" s="22">
        <v>112</v>
      </c>
      <c r="E270" s="194">
        <f t="shared" si="19"/>
        <v>1592.082035902198</v>
      </c>
      <c r="F270" s="195">
        <f t="shared" si="20"/>
        <v>610.0902312370215</v>
      </c>
      <c r="G270" s="196">
        <f t="shared" si="21"/>
        <v>2202.1722671392195</v>
      </c>
    </row>
    <row r="271" spans="3:7" ht="14.25" hidden="1" outlineLevel="1" thickBot="1" thickTop="1">
      <c r="C271" s="182" t="s">
        <v>145</v>
      </c>
      <c r="D271" s="22">
        <v>113</v>
      </c>
      <c r="E271" s="194">
        <f t="shared" si="19"/>
        <v>1585.9811335898278</v>
      </c>
      <c r="F271" s="195">
        <f t="shared" si="20"/>
        <v>616.1911335493917</v>
      </c>
      <c r="G271" s="196">
        <f t="shared" si="21"/>
        <v>2202.1722671392195</v>
      </c>
    </row>
    <row r="272" spans="3:7" ht="14.25" hidden="1" outlineLevel="1" thickBot="1" thickTop="1">
      <c r="C272" s="182" t="s">
        <v>145</v>
      </c>
      <c r="D272" s="22">
        <v>114</v>
      </c>
      <c r="E272" s="194">
        <f t="shared" si="19"/>
        <v>1579.8192222543341</v>
      </c>
      <c r="F272" s="195">
        <f t="shared" si="20"/>
        <v>622.3530448848853</v>
      </c>
      <c r="G272" s="196">
        <f t="shared" si="21"/>
        <v>2202.1722671392195</v>
      </c>
    </row>
    <row r="273" spans="3:7" ht="14.25" hidden="1" outlineLevel="1" thickBot="1" thickTop="1">
      <c r="C273" s="182" t="s">
        <v>145</v>
      </c>
      <c r="D273" s="22">
        <v>115</v>
      </c>
      <c r="E273" s="194">
        <f t="shared" si="19"/>
        <v>1573.5956918054849</v>
      </c>
      <c r="F273" s="195">
        <f t="shared" si="20"/>
        <v>628.5765753337346</v>
      </c>
      <c r="G273" s="196">
        <f t="shared" si="21"/>
        <v>2202.1722671392195</v>
      </c>
    </row>
    <row r="274" spans="3:7" ht="14.25" hidden="1" outlineLevel="1" thickBot="1" thickTop="1">
      <c r="C274" s="182" t="s">
        <v>145</v>
      </c>
      <c r="D274" s="22">
        <v>116</v>
      </c>
      <c r="E274" s="194">
        <f t="shared" si="19"/>
        <v>1567.3099260521483</v>
      </c>
      <c r="F274" s="195">
        <f t="shared" si="20"/>
        <v>634.8623410870712</v>
      </c>
      <c r="G274" s="196">
        <f t="shared" si="21"/>
        <v>2202.1722671392195</v>
      </c>
    </row>
    <row r="275" spans="3:7" ht="14.25" hidden="1" outlineLevel="1" thickBot="1" thickTop="1">
      <c r="C275" s="182" t="s">
        <v>145</v>
      </c>
      <c r="D275" s="22">
        <v>117</v>
      </c>
      <c r="E275" s="194">
        <f t="shared" si="19"/>
        <v>1560.9613026412762</v>
      </c>
      <c r="F275" s="195">
        <f t="shared" si="20"/>
        <v>641.2109644979432</v>
      </c>
      <c r="G275" s="196">
        <f t="shared" si="21"/>
        <v>2202.1722671392195</v>
      </c>
    </row>
    <row r="276" spans="3:7" ht="14.25" hidden="1" outlineLevel="1" thickBot="1" thickTop="1">
      <c r="C276" s="182" t="s">
        <v>145</v>
      </c>
      <c r="D276" s="22">
        <v>118</v>
      </c>
      <c r="E276" s="194">
        <f t="shared" si="19"/>
        <v>1554.5491929962975</v>
      </c>
      <c r="F276" s="195">
        <f t="shared" si="20"/>
        <v>647.623074142922</v>
      </c>
      <c r="G276" s="196">
        <f t="shared" si="21"/>
        <v>2202.1722671392195</v>
      </c>
    </row>
    <row r="277" spans="3:7" ht="14.25" hidden="1" outlineLevel="1" thickBot="1" thickTop="1">
      <c r="C277" s="182" t="s">
        <v>145</v>
      </c>
      <c r="D277" s="22">
        <v>119</v>
      </c>
      <c r="E277" s="194">
        <f t="shared" si="19"/>
        <v>1548.0729622548686</v>
      </c>
      <c r="F277" s="195">
        <f t="shared" si="20"/>
        <v>654.0993048843509</v>
      </c>
      <c r="G277" s="196">
        <f t="shared" si="21"/>
        <v>2202.1722671392195</v>
      </c>
    </row>
    <row r="278" spans="3:7" ht="14.25" hidden="1" outlineLevel="1" thickBot="1" thickTop="1">
      <c r="C278" s="182" t="s">
        <v>145</v>
      </c>
      <c r="D278" s="22">
        <v>120</v>
      </c>
      <c r="E278" s="194">
        <f t="shared" si="19"/>
        <v>1541.5319692060252</v>
      </c>
      <c r="F278" s="195">
        <f t="shared" si="20"/>
        <v>660.6402979331942</v>
      </c>
      <c r="G278" s="196">
        <f t="shared" si="21"/>
        <v>2202.1722671392195</v>
      </c>
    </row>
    <row r="279" spans="3:7" ht="14.25" hidden="1" outlineLevel="1" thickBot="1" thickTop="1">
      <c r="C279" s="182" t="s">
        <v>145</v>
      </c>
      <c r="D279" s="22">
        <v>121</v>
      </c>
      <c r="E279" s="194">
        <f t="shared" si="19"/>
        <v>1534.9255662266928</v>
      </c>
      <c r="F279" s="195">
        <f t="shared" si="20"/>
        <v>667.2467009125266</v>
      </c>
      <c r="G279" s="196">
        <f t="shared" si="21"/>
        <v>2202.1722671392195</v>
      </c>
    </row>
    <row r="280" spans="3:7" ht="14.25" hidden="1" outlineLevel="1" thickBot="1" thickTop="1">
      <c r="C280" s="182" t="s">
        <v>145</v>
      </c>
      <c r="D280" s="22">
        <v>122</v>
      </c>
      <c r="E280" s="194">
        <f t="shared" si="19"/>
        <v>1528.2530992175673</v>
      </c>
      <c r="F280" s="195">
        <f t="shared" si="20"/>
        <v>673.9191679216522</v>
      </c>
      <c r="G280" s="196">
        <f t="shared" si="21"/>
        <v>2202.1722671392195</v>
      </c>
    </row>
    <row r="281" spans="3:7" ht="14.25" hidden="1" outlineLevel="1" thickBot="1" thickTop="1">
      <c r="C281" s="182" t="s">
        <v>145</v>
      </c>
      <c r="D281" s="22">
        <v>123</v>
      </c>
      <c r="E281" s="194">
        <f t="shared" si="19"/>
        <v>1521.5139075383508</v>
      </c>
      <c r="F281" s="195">
        <f t="shared" si="20"/>
        <v>680.6583596008686</v>
      </c>
      <c r="G281" s="196">
        <f t="shared" si="21"/>
        <v>2202.1722671392195</v>
      </c>
    </row>
    <row r="282" spans="3:7" ht="14.25" hidden="1" outlineLevel="1" thickBot="1" thickTop="1">
      <c r="C282" s="182" t="s">
        <v>145</v>
      </c>
      <c r="D282" s="22">
        <v>124</v>
      </c>
      <c r="E282" s="194">
        <f t="shared" si="19"/>
        <v>1514.7073239423416</v>
      </c>
      <c r="F282" s="195">
        <f t="shared" si="20"/>
        <v>687.4649431968778</v>
      </c>
      <c r="G282" s="196">
        <f t="shared" si="21"/>
        <v>2202.1722671392195</v>
      </c>
    </row>
    <row r="283" spans="3:7" ht="14.25" hidden="1" outlineLevel="1" thickBot="1" thickTop="1">
      <c r="C283" s="182" t="s">
        <v>145</v>
      </c>
      <c r="D283" s="22">
        <v>125</v>
      </c>
      <c r="E283" s="194">
        <f t="shared" si="19"/>
        <v>1507.832674510373</v>
      </c>
      <c r="F283" s="195">
        <f t="shared" si="20"/>
        <v>694.3395926288465</v>
      </c>
      <c r="G283" s="196">
        <f t="shared" si="21"/>
        <v>2202.1722671392195</v>
      </c>
    </row>
    <row r="284" spans="3:7" ht="14.25" hidden="1" outlineLevel="1" thickBot="1" thickTop="1">
      <c r="C284" s="182" t="s">
        <v>145</v>
      </c>
      <c r="D284" s="22">
        <v>126</v>
      </c>
      <c r="E284" s="194">
        <f t="shared" si="19"/>
        <v>1500.8892785840842</v>
      </c>
      <c r="F284" s="195">
        <f t="shared" si="20"/>
        <v>701.2829885551353</v>
      </c>
      <c r="G284" s="196">
        <f t="shared" si="21"/>
        <v>2202.1722671392195</v>
      </c>
    </row>
    <row r="285" spans="3:7" ht="14.25" hidden="1" outlineLevel="1" thickBot="1" thickTop="1">
      <c r="C285" s="182" t="s">
        <v>145</v>
      </c>
      <c r="D285" s="22">
        <v>127</v>
      </c>
      <c r="E285" s="194">
        <f t="shared" si="19"/>
        <v>1493.8764486985328</v>
      </c>
      <c r="F285" s="195">
        <f t="shared" si="20"/>
        <v>708.2958184406866</v>
      </c>
      <c r="G285" s="196">
        <f t="shared" si="21"/>
        <v>2202.1722671392195</v>
      </c>
    </row>
    <row r="286" spans="3:7" ht="14.25" hidden="1" outlineLevel="1" thickBot="1" thickTop="1">
      <c r="C286" s="182" t="s">
        <v>145</v>
      </c>
      <c r="D286" s="22">
        <v>128</v>
      </c>
      <c r="E286" s="194">
        <f t="shared" si="19"/>
        <v>1486.7934905141267</v>
      </c>
      <c r="F286" s="195">
        <f t="shared" si="20"/>
        <v>715.3787766250928</v>
      </c>
      <c r="G286" s="196">
        <f t="shared" si="21"/>
        <v>2202.1722671392195</v>
      </c>
    </row>
    <row r="287" spans="3:7" ht="14.25" hidden="1" outlineLevel="1" thickBot="1" thickTop="1">
      <c r="C287" s="182" t="s">
        <v>145</v>
      </c>
      <c r="D287" s="22">
        <v>129</v>
      </c>
      <c r="E287" s="194">
        <f t="shared" si="19"/>
        <v>1479.6397027478763</v>
      </c>
      <c r="F287" s="195">
        <f t="shared" si="20"/>
        <v>722.5325643913432</v>
      </c>
      <c r="G287" s="196">
        <f t="shared" si="21"/>
        <v>2202.1722671392195</v>
      </c>
    </row>
    <row r="288" spans="3:7" ht="14.25" hidden="1" outlineLevel="1" thickBot="1" thickTop="1">
      <c r="C288" s="182" t="s">
        <v>145</v>
      </c>
      <c r="D288" s="22">
        <v>130</v>
      </c>
      <c r="E288" s="194">
        <f t="shared" si="19"/>
        <v>1472.4143771039626</v>
      </c>
      <c r="F288" s="195">
        <f t="shared" si="20"/>
        <v>729.7578900352569</v>
      </c>
      <c r="G288" s="196">
        <f t="shared" si="21"/>
        <v>2202.1722671392195</v>
      </c>
    </row>
    <row r="289" spans="3:7" ht="14.25" hidden="1" outlineLevel="1" thickBot="1" thickTop="1">
      <c r="C289" s="182" t="s">
        <v>145</v>
      </c>
      <c r="D289" s="22">
        <v>131</v>
      </c>
      <c r="E289" s="194">
        <f aca="true" t="shared" si="22" ref="E289:E352">IPMT(D$156/12,D289,D$158*12,D$155)</f>
        <v>1465.1167982036086</v>
      </c>
      <c r="F289" s="195">
        <f aca="true" t="shared" si="23" ref="F289:F352">PPMT($D$156/12,D289,D$158*12,D$155)</f>
        <v>737.0554689356109</v>
      </c>
      <c r="G289" s="196">
        <f aca="true" t="shared" si="24" ref="G289:G352">PMT(D$156/12,D$158*12,D$155)</f>
        <v>2202.1722671392195</v>
      </c>
    </row>
    <row r="290" spans="3:7" ht="14.25" hidden="1" outlineLevel="1" thickBot="1" thickTop="1">
      <c r="C290" s="182" t="s">
        <v>145</v>
      </c>
      <c r="D290" s="22">
        <v>132</v>
      </c>
      <c r="E290" s="194">
        <f t="shared" si="22"/>
        <v>1457.7462435142545</v>
      </c>
      <c r="F290" s="195">
        <f t="shared" si="23"/>
        <v>744.426023624965</v>
      </c>
      <c r="G290" s="196">
        <f t="shared" si="24"/>
        <v>2202.1722671392195</v>
      </c>
    </row>
    <row r="291" spans="3:7" ht="14.25" hidden="1" outlineLevel="1" thickBot="1" thickTop="1">
      <c r="C291" s="182" t="s">
        <v>145</v>
      </c>
      <c r="D291" s="22">
        <v>133</v>
      </c>
      <c r="E291" s="194">
        <f t="shared" si="22"/>
        <v>1450.3019832780037</v>
      </c>
      <c r="F291" s="195">
        <f t="shared" si="23"/>
        <v>751.8702838612157</v>
      </c>
      <c r="G291" s="196">
        <f t="shared" si="24"/>
        <v>2202.1722671392195</v>
      </c>
    </row>
    <row r="292" spans="3:7" ht="14.25" hidden="1" outlineLevel="1" thickBot="1" thickTop="1">
      <c r="C292" s="182" t="s">
        <v>145</v>
      </c>
      <c r="D292" s="22">
        <v>134</v>
      </c>
      <c r="E292" s="194">
        <f t="shared" si="22"/>
        <v>1442.7832804393909</v>
      </c>
      <c r="F292" s="195">
        <f t="shared" si="23"/>
        <v>759.3889866998286</v>
      </c>
      <c r="G292" s="196">
        <f t="shared" si="24"/>
        <v>2202.1722671392195</v>
      </c>
    </row>
    <row r="293" spans="3:7" ht="14.25" hidden="1" outlineLevel="1" thickBot="1" thickTop="1">
      <c r="C293" s="182" t="s">
        <v>145</v>
      </c>
      <c r="D293" s="22">
        <v>135</v>
      </c>
      <c r="E293" s="194">
        <f t="shared" si="22"/>
        <v>1435.1893905723946</v>
      </c>
      <c r="F293" s="195">
        <f t="shared" si="23"/>
        <v>766.9828765668249</v>
      </c>
      <c r="G293" s="196">
        <f t="shared" si="24"/>
        <v>2202.1722671392195</v>
      </c>
    </row>
    <row r="294" spans="3:7" ht="14.25" hidden="1" outlineLevel="1" thickBot="1" thickTop="1">
      <c r="C294" s="182" t="s">
        <v>145</v>
      </c>
      <c r="D294" s="22">
        <v>136</v>
      </c>
      <c r="E294" s="194">
        <f t="shared" si="22"/>
        <v>1427.519561806725</v>
      </c>
      <c r="F294" s="195">
        <f t="shared" si="23"/>
        <v>774.6527053324944</v>
      </c>
      <c r="G294" s="196">
        <f t="shared" si="24"/>
        <v>2202.1722671392195</v>
      </c>
    </row>
    <row r="295" spans="3:7" ht="14.25" hidden="1" outlineLevel="1" thickBot="1" thickTop="1">
      <c r="C295" s="182" t="s">
        <v>145</v>
      </c>
      <c r="D295" s="22">
        <v>137</v>
      </c>
      <c r="E295" s="194">
        <f t="shared" si="22"/>
        <v>1419.7730347534002</v>
      </c>
      <c r="F295" s="195">
        <f t="shared" si="23"/>
        <v>782.3992323858192</v>
      </c>
      <c r="G295" s="196">
        <f t="shared" si="24"/>
        <v>2202.1722671392195</v>
      </c>
    </row>
    <row r="296" spans="3:7" ht="14.25" hidden="1" outlineLevel="1" thickBot="1" thickTop="1">
      <c r="C296" s="182" t="s">
        <v>145</v>
      </c>
      <c r="D296" s="22">
        <v>138</v>
      </c>
      <c r="E296" s="194">
        <f t="shared" si="22"/>
        <v>1411.9490424295423</v>
      </c>
      <c r="F296" s="195">
        <f t="shared" si="23"/>
        <v>790.2232247096772</v>
      </c>
      <c r="G296" s="196">
        <f t="shared" si="24"/>
        <v>2202.1722671392195</v>
      </c>
    </row>
    <row r="297" spans="3:7" ht="14.25" hidden="1" outlineLevel="1" thickBot="1" thickTop="1">
      <c r="C297" s="182" t="s">
        <v>145</v>
      </c>
      <c r="D297" s="22">
        <v>139</v>
      </c>
      <c r="E297" s="194">
        <f t="shared" si="22"/>
        <v>1404.046810182446</v>
      </c>
      <c r="F297" s="195">
        <f t="shared" si="23"/>
        <v>798.1254569567734</v>
      </c>
      <c r="G297" s="196">
        <f t="shared" si="24"/>
        <v>2202.1722671392195</v>
      </c>
    </row>
    <row r="298" spans="3:7" ht="14.25" hidden="1" outlineLevel="1" thickBot="1" thickTop="1">
      <c r="C298" s="182" t="s">
        <v>145</v>
      </c>
      <c r="D298" s="22">
        <v>140</v>
      </c>
      <c r="E298" s="194">
        <f t="shared" si="22"/>
        <v>1396.065555612878</v>
      </c>
      <c r="F298" s="195">
        <f t="shared" si="23"/>
        <v>806.1067115263415</v>
      </c>
      <c r="G298" s="196">
        <f t="shared" si="24"/>
        <v>2202.1722671392195</v>
      </c>
    </row>
    <row r="299" spans="3:7" ht="14.25" hidden="1" outlineLevel="1" thickBot="1" thickTop="1">
      <c r="C299" s="182" t="s">
        <v>145</v>
      </c>
      <c r="D299" s="22">
        <v>141</v>
      </c>
      <c r="E299" s="194">
        <f t="shared" si="22"/>
        <v>1388.004488497614</v>
      </c>
      <c r="F299" s="195">
        <f t="shared" si="23"/>
        <v>814.1677786416055</v>
      </c>
      <c r="G299" s="196">
        <f t="shared" si="24"/>
        <v>2202.1722671392195</v>
      </c>
    </row>
    <row r="300" spans="3:7" ht="14.25" hidden="1" outlineLevel="1" thickBot="1" thickTop="1">
      <c r="C300" s="182" t="s">
        <v>145</v>
      </c>
      <c r="D300" s="22">
        <v>142</v>
      </c>
      <c r="E300" s="194">
        <f t="shared" si="22"/>
        <v>1379.8628107111983</v>
      </c>
      <c r="F300" s="195">
        <f t="shared" si="23"/>
        <v>822.3094564280211</v>
      </c>
      <c r="G300" s="196">
        <f t="shared" si="24"/>
        <v>2202.1722671392195</v>
      </c>
    </row>
    <row r="301" spans="3:7" ht="14.25" hidden="1" outlineLevel="1" thickBot="1" thickTop="1">
      <c r="C301" s="182" t="s">
        <v>145</v>
      </c>
      <c r="D301" s="22">
        <v>143</v>
      </c>
      <c r="E301" s="194">
        <f t="shared" si="22"/>
        <v>1371.639716146919</v>
      </c>
      <c r="F301" s="195">
        <f t="shared" si="23"/>
        <v>830.5325509923005</v>
      </c>
      <c r="G301" s="196">
        <f t="shared" si="24"/>
        <v>2202.1722671392195</v>
      </c>
    </row>
    <row r="302" spans="3:7" ht="14.25" hidden="1" outlineLevel="1" thickBot="1" thickTop="1">
      <c r="C302" s="182" t="s">
        <v>145</v>
      </c>
      <c r="D302" s="22">
        <v>144</v>
      </c>
      <c r="E302" s="194">
        <f t="shared" si="22"/>
        <v>1363.3343906369957</v>
      </c>
      <c r="F302" s="195">
        <f t="shared" si="23"/>
        <v>838.8378765022237</v>
      </c>
      <c r="G302" s="196">
        <f t="shared" si="24"/>
        <v>2202.1722671392195</v>
      </c>
    </row>
    <row r="303" spans="3:7" ht="14.25" hidden="1" outlineLevel="1" thickBot="1" thickTop="1">
      <c r="C303" s="182" t="s">
        <v>145</v>
      </c>
      <c r="D303" s="22">
        <v>145</v>
      </c>
      <c r="E303" s="194">
        <f t="shared" si="22"/>
        <v>1354.9460118719726</v>
      </c>
      <c r="F303" s="195">
        <f t="shared" si="23"/>
        <v>847.2262552672469</v>
      </c>
      <c r="G303" s="196">
        <f t="shared" si="24"/>
        <v>2202.1722671392195</v>
      </c>
    </row>
    <row r="304" spans="3:7" ht="14.25" hidden="1" outlineLevel="1" thickBot="1" thickTop="1">
      <c r="C304" s="182" t="s">
        <v>145</v>
      </c>
      <c r="D304" s="22">
        <v>146</v>
      </c>
      <c r="E304" s="194">
        <f t="shared" si="22"/>
        <v>1346.4737493193</v>
      </c>
      <c r="F304" s="195">
        <f t="shared" si="23"/>
        <v>855.6985178199195</v>
      </c>
      <c r="G304" s="196">
        <f t="shared" si="24"/>
        <v>2202.1722671392195</v>
      </c>
    </row>
    <row r="305" spans="3:7" ht="14.25" hidden="1" outlineLevel="1" thickBot="1" thickTop="1">
      <c r="C305" s="182" t="s">
        <v>145</v>
      </c>
      <c r="D305" s="22">
        <v>147</v>
      </c>
      <c r="E305" s="194">
        <f t="shared" si="22"/>
        <v>1337.916764141101</v>
      </c>
      <c r="F305" s="195">
        <f t="shared" si="23"/>
        <v>864.2555029981183</v>
      </c>
      <c r="G305" s="196">
        <f t="shared" si="24"/>
        <v>2202.1722671392195</v>
      </c>
    </row>
    <row r="306" spans="3:7" ht="14.25" hidden="1" outlineLevel="1" thickBot="1" thickTop="1">
      <c r="C306" s="182" t="s">
        <v>145</v>
      </c>
      <c r="D306" s="22">
        <v>148</v>
      </c>
      <c r="E306" s="194">
        <f t="shared" si="22"/>
        <v>1329.27420911112</v>
      </c>
      <c r="F306" s="195">
        <f t="shared" si="23"/>
        <v>872.8980580280995</v>
      </c>
      <c r="G306" s="196">
        <f t="shared" si="24"/>
        <v>2202.1722671392195</v>
      </c>
    </row>
    <row r="307" spans="3:7" ht="14.25" hidden="1" outlineLevel="1" thickBot="1" thickTop="1">
      <c r="C307" s="182" t="s">
        <v>145</v>
      </c>
      <c r="D307" s="22">
        <v>149</v>
      </c>
      <c r="E307" s="194">
        <f t="shared" si="22"/>
        <v>1320.545228530838</v>
      </c>
      <c r="F307" s="195">
        <f t="shared" si="23"/>
        <v>881.6270386083816</v>
      </c>
      <c r="G307" s="196">
        <f t="shared" si="24"/>
        <v>2202.1722671392195</v>
      </c>
    </row>
    <row r="308" spans="3:7" ht="14.25" hidden="1" outlineLevel="1" thickBot="1" thickTop="1">
      <c r="C308" s="182" t="s">
        <v>145</v>
      </c>
      <c r="D308" s="22">
        <v>150</v>
      </c>
      <c r="E308" s="194">
        <f t="shared" si="22"/>
        <v>1311.7289581447549</v>
      </c>
      <c r="F308" s="195">
        <f t="shared" si="23"/>
        <v>890.4433089944646</v>
      </c>
      <c r="G308" s="196">
        <f t="shared" si="24"/>
        <v>2202.1722671392195</v>
      </c>
    </row>
    <row r="309" spans="3:7" ht="14.25" hidden="1" outlineLevel="1" thickBot="1" thickTop="1">
      <c r="C309" s="182" t="s">
        <v>145</v>
      </c>
      <c r="D309" s="22">
        <v>151</v>
      </c>
      <c r="E309" s="194">
        <f t="shared" si="22"/>
        <v>1302.824525054811</v>
      </c>
      <c r="F309" s="195">
        <f t="shared" si="23"/>
        <v>899.3477420844085</v>
      </c>
      <c r="G309" s="196">
        <f t="shared" si="24"/>
        <v>2202.1722671392195</v>
      </c>
    </row>
    <row r="310" spans="3:7" ht="14.25" hidden="1" outlineLevel="1" thickBot="1" thickTop="1">
      <c r="C310" s="182" t="s">
        <v>145</v>
      </c>
      <c r="D310" s="22">
        <v>152</v>
      </c>
      <c r="E310" s="194">
        <f t="shared" si="22"/>
        <v>1293.8310476339666</v>
      </c>
      <c r="F310" s="195">
        <f t="shared" si="23"/>
        <v>908.3412195052529</v>
      </c>
      <c r="G310" s="196">
        <f t="shared" si="24"/>
        <v>2202.1722671392195</v>
      </c>
    </row>
    <row r="311" spans="3:7" ht="14.25" hidden="1" outlineLevel="1" thickBot="1" thickTop="1">
      <c r="C311" s="182" t="s">
        <v>145</v>
      </c>
      <c r="D311" s="22">
        <v>153</v>
      </c>
      <c r="E311" s="194">
        <f t="shared" si="22"/>
        <v>1284.7476354389137</v>
      </c>
      <c r="F311" s="195">
        <f t="shared" si="23"/>
        <v>917.4246317003058</v>
      </c>
      <c r="G311" s="196">
        <f t="shared" si="24"/>
        <v>2202.1722671392195</v>
      </c>
    </row>
    <row r="312" spans="3:7" ht="14.25" hidden="1" outlineLevel="1" thickBot="1" thickTop="1">
      <c r="C312" s="182" t="s">
        <v>145</v>
      </c>
      <c r="D312" s="22">
        <v>154</v>
      </c>
      <c r="E312" s="194">
        <f t="shared" si="22"/>
        <v>1275.57338912191</v>
      </c>
      <c r="F312" s="195">
        <f t="shared" si="23"/>
        <v>926.5988780173095</v>
      </c>
      <c r="G312" s="196">
        <f t="shared" si="24"/>
        <v>2202.1722671392195</v>
      </c>
    </row>
    <row r="313" spans="3:7" ht="14.25" hidden="1" outlineLevel="1" thickBot="1" thickTop="1">
      <c r="C313" s="182" t="s">
        <v>145</v>
      </c>
      <c r="D313" s="22">
        <v>155</v>
      </c>
      <c r="E313" s="194">
        <f t="shared" si="22"/>
        <v>1266.307400341737</v>
      </c>
      <c r="F313" s="195">
        <f t="shared" si="23"/>
        <v>935.8648667974824</v>
      </c>
      <c r="G313" s="196">
        <f t="shared" si="24"/>
        <v>2202.1722671392195</v>
      </c>
    </row>
    <row r="314" spans="3:7" ht="12.75" customHeight="1" hidden="1" outlineLevel="1">
      <c r="C314" s="182" t="s">
        <v>145</v>
      </c>
      <c r="D314" s="22">
        <v>156</v>
      </c>
      <c r="E314" s="194">
        <f t="shared" si="22"/>
        <v>1256.9487516737624</v>
      </c>
      <c r="F314" s="195">
        <f t="shared" si="23"/>
        <v>945.223515465457</v>
      </c>
      <c r="G314" s="196">
        <f t="shared" si="24"/>
        <v>2202.1722671392195</v>
      </c>
    </row>
    <row r="315" spans="3:7" ht="12.75" customHeight="1" hidden="1" outlineLevel="1">
      <c r="C315" s="182" t="s">
        <v>145</v>
      </c>
      <c r="D315" s="22">
        <v>157</v>
      </c>
      <c r="E315" s="194">
        <f t="shared" si="22"/>
        <v>1247.4965165191086</v>
      </c>
      <c r="F315" s="195">
        <f t="shared" si="23"/>
        <v>954.6757506201109</v>
      </c>
      <c r="G315" s="196">
        <f t="shared" si="24"/>
        <v>2202.1722671392195</v>
      </c>
    </row>
    <row r="316" spans="3:7" ht="12.75" customHeight="1" hidden="1" outlineLevel="1">
      <c r="C316" s="182" t="s">
        <v>145</v>
      </c>
      <c r="D316" s="22">
        <v>158</v>
      </c>
      <c r="E316" s="194">
        <f t="shared" si="22"/>
        <v>1237.9497590129079</v>
      </c>
      <c r="F316" s="195">
        <f t="shared" si="23"/>
        <v>964.2225081263116</v>
      </c>
      <c r="G316" s="196">
        <f t="shared" si="24"/>
        <v>2202.1722671392195</v>
      </c>
    </row>
    <row r="317" spans="3:7" ht="12.75" customHeight="1" hidden="1" outlineLevel="1">
      <c r="C317" s="182" t="s">
        <v>145</v>
      </c>
      <c r="D317" s="22">
        <v>159</v>
      </c>
      <c r="E317" s="194">
        <f t="shared" si="22"/>
        <v>1228.3075339316438</v>
      </c>
      <c r="F317" s="195">
        <f t="shared" si="23"/>
        <v>973.8647332075757</v>
      </c>
      <c r="G317" s="196">
        <f t="shared" si="24"/>
        <v>2202.1722671392195</v>
      </c>
    </row>
    <row r="318" spans="3:7" ht="12.75" customHeight="1" hidden="1" outlineLevel="1">
      <c r="C318" s="182" t="s">
        <v>145</v>
      </c>
      <c r="D318" s="22">
        <v>160</v>
      </c>
      <c r="E318" s="194">
        <f t="shared" si="22"/>
        <v>1218.5688865995687</v>
      </c>
      <c r="F318" s="195">
        <f t="shared" si="23"/>
        <v>983.6033805396507</v>
      </c>
      <c r="G318" s="196">
        <f t="shared" si="24"/>
        <v>2202.1722671392195</v>
      </c>
    </row>
    <row r="319" spans="3:7" ht="12.75" customHeight="1" hidden="1" outlineLevel="1">
      <c r="C319" s="182" t="s">
        <v>145</v>
      </c>
      <c r="D319" s="22">
        <v>161</v>
      </c>
      <c r="E319" s="194">
        <f t="shared" si="22"/>
        <v>1208.7328527941706</v>
      </c>
      <c r="F319" s="195">
        <f t="shared" si="23"/>
        <v>993.4394143450488</v>
      </c>
      <c r="G319" s="196">
        <f t="shared" si="24"/>
        <v>2202.1722671392195</v>
      </c>
    </row>
    <row r="320" spans="3:7" ht="12.75" customHeight="1" hidden="1" outlineLevel="1">
      <c r="C320" s="182" t="s">
        <v>145</v>
      </c>
      <c r="D320" s="22">
        <v>162</v>
      </c>
      <c r="E320" s="194">
        <f t="shared" si="22"/>
        <v>1198.798458650721</v>
      </c>
      <c r="F320" s="195">
        <f t="shared" si="23"/>
        <v>1003.3738084884985</v>
      </c>
      <c r="G320" s="196">
        <f t="shared" si="24"/>
        <v>2202.1722671392195</v>
      </c>
    </row>
    <row r="321" spans="3:7" ht="12.75" customHeight="1" hidden="1" outlineLevel="1">
      <c r="C321" s="182" t="s">
        <v>145</v>
      </c>
      <c r="D321" s="22">
        <v>163</v>
      </c>
      <c r="E321" s="194">
        <f t="shared" si="22"/>
        <v>1188.764720565835</v>
      </c>
      <c r="F321" s="195">
        <f t="shared" si="23"/>
        <v>1013.4075465733845</v>
      </c>
      <c r="G321" s="196">
        <f t="shared" si="24"/>
        <v>2202.1722671392195</v>
      </c>
    </row>
    <row r="322" spans="3:7" ht="12.75" customHeight="1" hidden="1" outlineLevel="1">
      <c r="C322" s="182" t="s">
        <v>145</v>
      </c>
      <c r="D322" s="22">
        <v>164</v>
      </c>
      <c r="E322" s="194">
        <f t="shared" si="22"/>
        <v>1178.630645100103</v>
      </c>
      <c r="F322" s="195">
        <f t="shared" si="23"/>
        <v>1023.5416220391164</v>
      </c>
      <c r="G322" s="196">
        <f t="shared" si="24"/>
        <v>2202.1722671392195</v>
      </c>
    </row>
    <row r="323" spans="3:7" ht="12.75" customHeight="1" hidden="1" outlineLevel="1">
      <c r="C323" s="182" t="s">
        <v>145</v>
      </c>
      <c r="D323" s="22">
        <v>165</v>
      </c>
      <c r="E323" s="194">
        <f t="shared" si="22"/>
        <v>1168.3952288797113</v>
      </c>
      <c r="F323" s="195">
        <f t="shared" si="23"/>
        <v>1033.7770382595081</v>
      </c>
      <c r="G323" s="196">
        <f t="shared" si="24"/>
        <v>2202.1722671392195</v>
      </c>
    </row>
    <row r="324" spans="3:7" ht="12.75" customHeight="1" hidden="1" outlineLevel="1">
      <c r="C324" s="182" t="s">
        <v>145</v>
      </c>
      <c r="D324" s="22">
        <v>166</v>
      </c>
      <c r="E324" s="194">
        <f t="shared" si="22"/>
        <v>1158.057458497117</v>
      </c>
      <c r="F324" s="195">
        <f t="shared" si="23"/>
        <v>1044.1148086421024</v>
      </c>
      <c r="G324" s="196">
        <f t="shared" si="24"/>
        <v>2202.1722671392195</v>
      </c>
    </row>
    <row r="325" spans="3:7" ht="12.75" customHeight="1" hidden="1" outlineLevel="1">
      <c r="C325" s="182" t="s">
        <v>145</v>
      </c>
      <c r="D325" s="22">
        <v>167</v>
      </c>
      <c r="E325" s="194">
        <f t="shared" si="22"/>
        <v>1147.6163104106952</v>
      </c>
      <c r="F325" s="195">
        <f t="shared" si="23"/>
        <v>1054.5559567285243</v>
      </c>
      <c r="G325" s="196">
        <f t="shared" si="24"/>
        <v>2202.1722671392195</v>
      </c>
    </row>
    <row r="326" spans="3:7" ht="12.75" customHeight="1" hidden="1" outlineLevel="1">
      <c r="C326" s="182" t="s">
        <v>145</v>
      </c>
      <c r="D326" s="22">
        <v>168</v>
      </c>
      <c r="E326" s="194">
        <f t="shared" si="22"/>
        <v>1137.07075084341</v>
      </c>
      <c r="F326" s="195">
        <f t="shared" si="23"/>
        <v>1065.1015162958095</v>
      </c>
      <c r="G326" s="196">
        <f t="shared" si="24"/>
        <v>2202.1722671392195</v>
      </c>
    </row>
    <row r="327" spans="3:7" ht="12.75" customHeight="1" hidden="1" outlineLevel="1">
      <c r="C327" s="182" t="s">
        <v>145</v>
      </c>
      <c r="D327" s="22">
        <v>169</v>
      </c>
      <c r="E327" s="194">
        <f t="shared" si="22"/>
        <v>1126.419735680453</v>
      </c>
      <c r="F327" s="195">
        <f t="shared" si="23"/>
        <v>1075.7525314587665</v>
      </c>
      <c r="G327" s="196">
        <f t="shared" si="24"/>
        <v>2202.1722671392195</v>
      </c>
    </row>
    <row r="328" spans="3:7" ht="12.75" customHeight="1" hidden="1" outlineLevel="1">
      <c r="C328" s="182" t="s">
        <v>145</v>
      </c>
      <c r="D328" s="22">
        <v>170</v>
      </c>
      <c r="E328" s="194">
        <f t="shared" si="22"/>
        <v>1115.6622103658633</v>
      </c>
      <c r="F328" s="195">
        <f t="shared" si="23"/>
        <v>1086.5100567733562</v>
      </c>
      <c r="G328" s="196">
        <f t="shared" si="24"/>
        <v>2202.1722671392195</v>
      </c>
    </row>
    <row r="329" spans="3:7" ht="12.75" customHeight="1" hidden="1" outlineLevel="1">
      <c r="C329" s="182" t="s">
        <v>145</v>
      </c>
      <c r="D329" s="22">
        <v>171</v>
      </c>
      <c r="E329" s="194">
        <f t="shared" si="22"/>
        <v>1104.7971097981313</v>
      </c>
      <c r="F329" s="195">
        <f t="shared" si="23"/>
        <v>1097.3751573410882</v>
      </c>
      <c r="G329" s="196">
        <f t="shared" si="24"/>
        <v>2202.1722671392195</v>
      </c>
    </row>
    <row r="330" spans="3:7" ht="12.75" customHeight="1" hidden="1" outlineLevel="1">
      <c r="C330" s="182" t="s">
        <v>145</v>
      </c>
      <c r="D330" s="22">
        <v>172</v>
      </c>
      <c r="E330" s="194">
        <f t="shared" si="22"/>
        <v>1093.82335822472</v>
      </c>
      <c r="F330" s="195">
        <f t="shared" si="23"/>
        <v>1108.3489089144994</v>
      </c>
      <c r="G330" s="196">
        <f t="shared" si="24"/>
        <v>2202.1722671392195</v>
      </c>
    </row>
    <row r="331" spans="3:7" ht="12.75" customHeight="1" hidden="1" outlineLevel="1">
      <c r="C331" s="182" t="s">
        <v>145</v>
      </c>
      <c r="D331" s="22">
        <v>173</v>
      </c>
      <c r="E331" s="194">
        <f t="shared" si="22"/>
        <v>1082.739869135574</v>
      </c>
      <c r="F331" s="195">
        <f t="shared" si="23"/>
        <v>1119.4323980036454</v>
      </c>
      <c r="G331" s="196">
        <f t="shared" si="24"/>
        <v>2202.1722671392195</v>
      </c>
    </row>
    <row r="332" spans="3:7" ht="12.75" customHeight="1" hidden="1" outlineLevel="1">
      <c r="C332" s="182" t="s">
        <v>145</v>
      </c>
      <c r="D332" s="22">
        <v>174</v>
      </c>
      <c r="E332" s="194">
        <f t="shared" si="22"/>
        <v>1071.5455451555376</v>
      </c>
      <c r="F332" s="195">
        <f t="shared" si="23"/>
        <v>1130.6267219836818</v>
      </c>
      <c r="G332" s="196">
        <f t="shared" si="24"/>
        <v>2202.1722671392195</v>
      </c>
    </row>
    <row r="333" spans="3:7" ht="12.75" customHeight="1" hidden="1" outlineLevel="1">
      <c r="C333" s="182" t="s">
        <v>145</v>
      </c>
      <c r="D333" s="22">
        <v>175</v>
      </c>
      <c r="E333" s="194">
        <f t="shared" si="22"/>
        <v>1060.2392779357021</v>
      </c>
      <c r="F333" s="195">
        <f t="shared" si="23"/>
        <v>1141.9329892035173</v>
      </c>
      <c r="G333" s="196">
        <f t="shared" si="24"/>
        <v>2202.1722671392195</v>
      </c>
    </row>
    <row r="334" spans="3:7" ht="12.75" customHeight="1" hidden="1" outlineLevel="1">
      <c r="C334" s="182" t="s">
        <v>145</v>
      </c>
      <c r="D334" s="22">
        <v>176</v>
      </c>
      <c r="E334" s="194">
        <f t="shared" si="22"/>
        <v>1048.819948043666</v>
      </c>
      <c r="F334" s="195">
        <f t="shared" si="23"/>
        <v>1153.3523190955534</v>
      </c>
      <c r="G334" s="196">
        <f t="shared" si="24"/>
        <v>2202.1722671392195</v>
      </c>
    </row>
    <row r="335" spans="3:7" ht="12.75" customHeight="1" hidden="1" outlineLevel="1">
      <c r="C335" s="182" t="s">
        <v>145</v>
      </c>
      <c r="D335" s="22">
        <v>177</v>
      </c>
      <c r="E335" s="194">
        <f t="shared" si="22"/>
        <v>1037.2864248527098</v>
      </c>
      <c r="F335" s="195">
        <f t="shared" si="23"/>
        <v>1164.8858422865096</v>
      </c>
      <c r="G335" s="196">
        <f t="shared" si="24"/>
        <v>2202.1722671392195</v>
      </c>
    </row>
    <row r="336" spans="3:7" ht="14.25" hidden="1" outlineLevel="1" thickBot="1" thickTop="1">
      <c r="C336" s="182" t="s">
        <v>145</v>
      </c>
      <c r="D336" s="22">
        <v>178</v>
      </c>
      <c r="E336" s="194">
        <f t="shared" si="22"/>
        <v>1025.6375664298446</v>
      </c>
      <c r="F336" s="195">
        <f t="shared" si="23"/>
        <v>1176.5347007093749</v>
      </c>
      <c r="G336" s="196">
        <f t="shared" si="24"/>
        <v>2202.1722671392195</v>
      </c>
    </row>
    <row r="337" spans="3:7" ht="14.25" hidden="1" outlineLevel="1" thickBot="1" thickTop="1">
      <c r="C337" s="182" t="s">
        <v>145</v>
      </c>
      <c r="D337" s="22">
        <v>179</v>
      </c>
      <c r="E337" s="194">
        <f t="shared" si="22"/>
        <v>1013.8722194227506</v>
      </c>
      <c r="F337" s="195">
        <f t="shared" si="23"/>
        <v>1188.3000477164687</v>
      </c>
      <c r="G337" s="196">
        <f t="shared" si="24"/>
        <v>2202.1722671392195</v>
      </c>
    </row>
    <row r="338" spans="3:7" ht="12.75" customHeight="1" hidden="1" outlineLevel="1">
      <c r="C338" s="182" t="s">
        <v>145</v>
      </c>
      <c r="D338" s="22">
        <v>180</v>
      </c>
      <c r="E338" s="194">
        <f t="shared" si="22"/>
        <v>1001.989218945587</v>
      </c>
      <c r="F338" s="195">
        <f t="shared" si="23"/>
        <v>1200.1830481936324</v>
      </c>
      <c r="G338" s="196">
        <f t="shared" si="24"/>
        <v>2202.1722671392195</v>
      </c>
    </row>
    <row r="339" spans="3:7" ht="12.75" customHeight="1" hidden="1" outlineLevel="1">
      <c r="C339" s="182" t="s">
        <v>145</v>
      </c>
      <c r="D339" s="22">
        <v>181</v>
      </c>
      <c r="E339" s="194">
        <f t="shared" si="22"/>
        <v>989.9873884636513</v>
      </c>
      <c r="F339" s="195">
        <f t="shared" si="23"/>
        <v>1212.1848786755681</v>
      </c>
      <c r="G339" s="196">
        <f t="shared" si="24"/>
        <v>2202.1722671392195</v>
      </c>
    </row>
    <row r="340" spans="3:7" ht="12.75" customHeight="1" hidden="1" outlineLevel="1">
      <c r="C340" s="182" t="s">
        <v>145</v>
      </c>
      <c r="D340" s="22">
        <v>182</v>
      </c>
      <c r="E340" s="194">
        <f t="shared" si="22"/>
        <v>977.865539676894</v>
      </c>
      <c r="F340" s="195">
        <f t="shared" si="23"/>
        <v>1224.3067274623254</v>
      </c>
      <c r="G340" s="196">
        <f t="shared" si="24"/>
        <v>2202.1722671392195</v>
      </c>
    </row>
    <row r="341" spans="3:7" ht="12.75" customHeight="1" hidden="1" outlineLevel="1">
      <c r="C341" s="182" t="s">
        <v>145</v>
      </c>
      <c r="D341" s="22">
        <v>183</v>
      </c>
      <c r="E341" s="194">
        <f t="shared" si="22"/>
        <v>965.6224724022695</v>
      </c>
      <c r="F341" s="195">
        <f t="shared" si="23"/>
        <v>1236.54979473695</v>
      </c>
      <c r="G341" s="196">
        <f t="shared" si="24"/>
        <v>2202.1722671392195</v>
      </c>
    </row>
    <row r="342" spans="3:7" ht="12.75" customHeight="1" hidden="1" outlineLevel="1">
      <c r="C342" s="182" t="s">
        <v>145</v>
      </c>
      <c r="D342" s="22">
        <v>184</v>
      </c>
      <c r="E342" s="194">
        <f t="shared" si="22"/>
        <v>953.256974454904</v>
      </c>
      <c r="F342" s="195">
        <f t="shared" si="23"/>
        <v>1248.9152926843153</v>
      </c>
      <c r="G342" s="196">
        <f t="shared" si="24"/>
        <v>2202.1722671392195</v>
      </c>
    </row>
    <row r="343" spans="3:7" ht="12.75" customHeight="1" hidden="1" outlineLevel="1">
      <c r="C343" s="182" t="s">
        <v>145</v>
      </c>
      <c r="D343" s="22">
        <v>185</v>
      </c>
      <c r="E343" s="194">
        <f t="shared" si="22"/>
        <v>940.7678215280571</v>
      </c>
      <c r="F343" s="195">
        <f t="shared" si="23"/>
        <v>1261.4044456111624</v>
      </c>
      <c r="G343" s="196">
        <f t="shared" si="24"/>
        <v>2202.1722671392195</v>
      </c>
    </row>
    <row r="344" spans="3:7" ht="12.75" customHeight="1" hidden="1" outlineLevel="1">
      <c r="C344" s="182" t="s">
        <v>145</v>
      </c>
      <c r="D344" s="22">
        <v>186</v>
      </c>
      <c r="E344" s="194">
        <f t="shared" si="22"/>
        <v>928.1537770719477</v>
      </c>
      <c r="F344" s="195">
        <f t="shared" si="23"/>
        <v>1274.0184900672716</v>
      </c>
      <c r="G344" s="196">
        <f t="shared" si="24"/>
        <v>2202.1722671392195</v>
      </c>
    </row>
    <row r="345" spans="3:7" ht="12.75" customHeight="1" hidden="1" outlineLevel="1">
      <c r="C345" s="182" t="s">
        <v>145</v>
      </c>
      <c r="D345" s="22">
        <v>187</v>
      </c>
      <c r="E345" s="194">
        <f t="shared" si="22"/>
        <v>915.4135921712732</v>
      </c>
      <c r="F345" s="195">
        <f t="shared" si="23"/>
        <v>1286.7586749679463</v>
      </c>
      <c r="G345" s="196">
        <f t="shared" si="24"/>
        <v>2202.1722671392195</v>
      </c>
    </row>
    <row r="346" spans="3:7" ht="12.75" customHeight="1" hidden="1" outlineLevel="1">
      <c r="C346" s="182" t="s">
        <v>145</v>
      </c>
      <c r="D346" s="22">
        <v>188</v>
      </c>
      <c r="E346" s="194">
        <f t="shared" si="22"/>
        <v>902.5460054215929</v>
      </c>
      <c r="F346" s="195">
        <f t="shared" si="23"/>
        <v>1299.6262617176267</v>
      </c>
      <c r="G346" s="196">
        <f t="shared" si="24"/>
        <v>2202.1722671392195</v>
      </c>
    </row>
    <row r="347" spans="3:7" ht="12.75" customHeight="1" hidden="1" outlineLevel="1">
      <c r="C347" s="182" t="s">
        <v>145</v>
      </c>
      <c r="D347" s="22">
        <v>189</v>
      </c>
      <c r="E347" s="194">
        <f t="shared" si="22"/>
        <v>889.5497428044188</v>
      </c>
      <c r="F347" s="195">
        <f t="shared" si="23"/>
        <v>1312.6225243348008</v>
      </c>
      <c r="G347" s="196">
        <f t="shared" si="24"/>
        <v>2202.1722671392195</v>
      </c>
    </row>
    <row r="348" spans="3:7" ht="12.75" customHeight="1" hidden="1" outlineLevel="1">
      <c r="C348" s="182" t="s">
        <v>145</v>
      </c>
      <c r="D348" s="22">
        <v>190</v>
      </c>
      <c r="E348" s="194">
        <f t="shared" si="22"/>
        <v>876.4235175610729</v>
      </c>
      <c r="F348" s="195">
        <f t="shared" si="23"/>
        <v>1325.7487495781465</v>
      </c>
      <c r="G348" s="196">
        <f t="shared" si="24"/>
        <v>2202.1722671392195</v>
      </c>
    </row>
    <row r="349" spans="3:7" ht="14.25" hidden="1" outlineLevel="1" thickBot="1" thickTop="1">
      <c r="C349" s="182" t="s">
        <v>145</v>
      </c>
      <c r="D349" s="22">
        <v>191</v>
      </c>
      <c r="E349" s="194">
        <f t="shared" si="22"/>
        <v>863.1660300652893</v>
      </c>
      <c r="F349" s="195">
        <f t="shared" si="23"/>
        <v>1339.0062370739302</v>
      </c>
      <c r="G349" s="196">
        <f t="shared" si="24"/>
        <v>2202.1722671392195</v>
      </c>
    </row>
    <row r="350" spans="3:7" ht="14.25" hidden="1" outlineLevel="1" thickBot="1" thickTop="1">
      <c r="C350" s="182" t="s">
        <v>145</v>
      </c>
      <c r="D350" s="22">
        <v>192</v>
      </c>
      <c r="E350" s="194">
        <f t="shared" si="22"/>
        <v>849.7759676945489</v>
      </c>
      <c r="F350" s="195">
        <f t="shared" si="23"/>
        <v>1352.3962994446706</v>
      </c>
      <c r="G350" s="196">
        <f t="shared" si="24"/>
        <v>2202.1722671392195</v>
      </c>
    </row>
    <row r="351" spans="3:7" ht="14.25" hidden="1" outlineLevel="1" thickBot="1" thickTop="1">
      <c r="C351" s="182" t="s">
        <v>145</v>
      </c>
      <c r="D351" s="22">
        <v>193</v>
      </c>
      <c r="E351" s="194">
        <f t="shared" si="22"/>
        <v>836.2520047001028</v>
      </c>
      <c r="F351" s="195">
        <f t="shared" si="23"/>
        <v>1365.9202624391166</v>
      </c>
      <c r="G351" s="196">
        <f t="shared" si="24"/>
        <v>2202.1722671392195</v>
      </c>
    </row>
    <row r="352" spans="3:7" ht="14.25" hidden="1" outlineLevel="1" thickBot="1" thickTop="1">
      <c r="C352" s="182" t="s">
        <v>145</v>
      </c>
      <c r="D352" s="22">
        <v>194</v>
      </c>
      <c r="E352" s="194">
        <f t="shared" si="22"/>
        <v>822.5928020757134</v>
      </c>
      <c r="F352" s="195">
        <f t="shared" si="23"/>
        <v>1379.5794650635062</v>
      </c>
      <c r="G352" s="196">
        <f t="shared" si="24"/>
        <v>2202.1722671392195</v>
      </c>
    </row>
    <row r="353" spans="3:7" ht="14.25" hidden="1" outlineLevel="1" thickBot="1" thickTop="1">
      <c r="C353" s="182" t="s">
        <v>145</v>
      </c>
      <c r="D353" s="22">
        <v>195</v>
      </c>
      <c r="E353" s="194">
        <f aca="true" t="shared" si="25" ref="E353:E398">IPMT(D$156/12,D353,D$158*12,D$155)</f>
        <v>808.7970074250782</v>
      </c>
      <c r="F353" s="195">
        <f aca="true" t="shared" si="26" ref="F353:F398">PPMT($D$156/12,D353,D$158*12,D$155)</f>
        <v>1393.3752597141413</v>
      </c>
      <c r="G353" s="196">
        <f aca="true" t="shared" si="27" ref="G353:G398">PMT(D$156/12,D$158*12,D$155)</f>
        <v>2202.1722671392195</v>
      </c>
    </row>
    <row r="354" spans="3:7" ht="14.25" hidden="1" outlineLevel="1" thickBot="1" thickTop="1">
      <c r="C354" s="182" t="s">
        <v>145</v>
      </c>
      <c r="D354" s="22">
        <v>196</v>
      </c>
      <c r="E354" s="194">
        <f t="shared" si="25"/>
        <v>794.8632548279362</v>
      </c>
      <c r="F354" s="195">
        <f t="shared" si="26"/>
        <v>1407.3090123112834</v>
      </c>
      <c r="G354" s="196">
        <f t="shared" si="27"/>
        <v>2202.1722671392195</v>
      </c>
    </row>
    <row r="355" spans="3:7" ht="14.25" hidden="1" outlineLevel="1" thickBot="1" thickTop="1">
      <c r="C355" s="182" t="s">
        <v>145</v>
      </c>
      <c r="D355" s="22">
        <v>197</v>
      </c>
      <c r="E355" s="194">
        <f t="shared" si="25"/>
        <v>780.7901647048234</v>
      </c>
      <c r="F355" s="195">
        <f t="shared" si="26"/>
        <v>1421.382102434396</v>
      </c>
      <c r="G355" s="196">
        <f t="shared" si="27"/>
        <v>2202.1722671392195</v>
      </c>
    </row>
    <row r="356" spans="3:7" ht="14.25" hidden="1" outlineLevel="1" thickBot="1" thickTop="1">
      <c r="C356" s="182" t="s">
        <v>145</v>
      </c>
      <c r="D356" s="22">
        <v>198</v>
      </c>
      <c r="E356" s="194">
        <f t="shared" si="25"/>
        <v>766.5763436804782</v>
      </c>
      <c r="F356" s="195">
        <f t="shared" si="26"/>
        <v>1435.5959234587413</v>
      </c>
      <c r="G356" s="196">
        <f t="shared" si="27"/>
        <v>2202.1722671392195</v>
      </c>
    </row>
    <row r="357" spans="3:7" ht="14.25" hidden="1" outlineLevel="1" thickBot="1" thickTop="1">
      <c r="C357" s="182" t="s">
        <v>145</v>
      </c>
      <c r="D357" s="22">
        <v>199</v>
      </c>
      <c r="E357" s="194">
        <f t="shared" si="25"/>
        <v>752.2203844458912</v>
      </c>
      <c r="F357" s="195">
        <f t="shared" si="26"/>
        <v>1449.9518826933281</v>
      </c>
      <c r="G357" s="196">
        <f t="shared" si="27"/>
        <v>2202.1722671392195</v>
      </c>
    </row>
    <row r="358" spans="3:7" ht="14.25" hidden="1" outlineLevel="1" thickBot="1" thickTop="1">
      <c r="C358" s="182" t="s">
        <v>145</v>
      </c>
      <c r="D358" s="22">
        <v>200</v>
      </c>
      <c r="E358" s="194">
        <f t="shared" si="25"/>
        <v>737.7208656189567</v>
      </c>
      <c r="F358" s="195">
        <f t="shared" si="26"/>
        <v>1464.4514015202626</v>
      </c>
      <c r="G358" s="196">
        <f t="shared" si="27"/>
        <v>2202.1722671392195</v>
      </c>
    </row>
    <row r="359" spans="3:7" ht="14.25" hidden="1" outlineLevel="1" thickBot="1" thickTop="1">
      <c r="C359" s="182" t="s">
        <v>145</v>
      </c>
      <c r="D359" s="22">
        <v>201</v>
      </c>
      <c r="E359" s="194">
        <f t="shared" si="25"/>
        <v>723.0763516037539</v>
      </c>
      <c r="F359" s="195">
        <f t="shared" si="26"/>
        <v>1479.0959155354656</v>
      </c>
      <c r="G359" s="196">
        <f t="shared" si="27"/>
        <v>2202.1722671392195</v>
      </c>
    </row>
    <row r="360" spans="3:7" ht="14.25" hidden="1" outlineLevel="1" thickBot="1" thickTop="1">
      <c r="C360" s="182" t="s">
        <v>145</v>
      </c>
      <c r="D360" s="22">
        <v>202</v>
      </c>
      <c r="E360" s="194">
        <f t="shared" si="25"/>
        <v>708.2853924484016</v>
      </c>
      <c r="F360" s="195">
        <f t="shared" si="26"/>
        <v>1493.8868746908179</v>
      </c>
      <c r="G360" s="196">
        <f t="shared" si="27"/>
        <v>2202.1722671392195</v>
      </c>
    </row>
    <row r="361" spans="3:7" ht="14.25" hidden="1" outlineLevel="1" thickBot="1" thickTop="1">
      <c r="C361" s="182" t="s">
        <v>145</v>
      </c>
      <c r="D361" s="22">
        <v>203</v>
      </c>
      <c r="E361" s="194">
        <f t="shared" si="25"/>
        <v>693.346523701495</v>
      </c>
      <c r="F361" s="195">
        <f t="shared" si="26"/>
        <v>1508.8257434377244</v>
      </c>
      <c r="G361" s="196">
        <f t="shared" si="27"/>
        <v>2202.1722671392195</v>
      </c>
    </row>
    <row r="362" spans="3:7" ht="14.25" hidden="1" outlineLevel="1" thickBot="1" thickTop="1">
      <c r="C362" s="182" t="s">
        <v>145</v>
      </c>
      <c r="D362" s="22">
        <v>204</v>
      </c>
      <c r="E362" s="194">
        <f t="shared" si="25"/>
        <v>678.258266267113</v>
      </c>
      <c r="F362" s="195">
        <f t="shared" si="26"/>
        <v>1523.9140008721065</v>
      </c>
      <c r="G362" s="196">
        <f t="shared" si="27"/>
        <v>2202.1722671392195</v>
      </c>
    </row>
    <row r="363" spans="3:7" ht="14.25" hidden="1" outlineLevel="1" thickBot="1" thickTop="1">
      <c r="C363" s="182" t="s">
        <v>145</v>
      </c>
      <c r="D363" s="22">
        <v>205</v>
      </c>
      <c r="E363" s="194">
        <f t="shared" si="25"/>
        <v>663.0191262583947</v>
      </c>
      <c r="F363" s="195">
        <f t="shared" si="26"/>
        <v>1539.1531408808246</v>
      </c>
      <c r="G363" s="196">
        <f t="shared" si="27"/>
        <v>2202.1722671392195</v>
      </c>
    </row>
    <row r="364" spans="3:7" ht="14.25" hidden="1" outlineLevel="1" thickBot="1" thickTop="1">
      <c r="C364" s="182" t="s">
        <v>145</v>
      </c>
      <c r="D364" s="22">
        <v>206</v>
      </c>
      <c r="E364" s="194">
        <f t="shared" si="25"/>
        <v>647.6275948495837</v>
      </c>
      <c r="F364" s="195">
        <f t="shared" si="26"/>
        <v>1554.5446722896359</v>
      </c>
      <c r="G364" s="196">
        <f t="shared" si="27"/>
        <v>2202.1722671392195</v>
      </c>
    </row>
    <row r="365" spans="3:7" ht="14.25" hidden="1" outlineLevel="1" thickBot="1" thickTop="1">
      <c r="C365" s="182" t="s">
        <v>145</v>
      </c>
      <c r="D365" s="22">
        <v>207</v>
      </c>
      <c r="E365" s="194">
        <f t="shared" si="25"/>
        <v>632.082148126692</v>
      </c>
      <c r="F365" s="195">
        <f t="shared" si="26"/>
        <v>1570.0901190125273</v>
      </c>
      <c r="G365" s="196">
        <f t="shared" si="27"/>
        <v>2202.1722671392195</v>
      </c>
    </row>
    <row r="366" spans="3:7" ht="14.25" hidden="1" outlineLevel="1" thickBot="1" thickTop="1">
      <c r="C366" s="182" t="s">
        <v>145</v>
      </c>
      <c r="D366" s="22">
        <v>208</v>
      </c>
      <c r="E366" s="194">
        <f t="shared" si="25"/>
        <v>616.3812469365657</v>
      </c>
      <c r="F366" s="195">
        <f t="shared" si="26"/>
        <v>1585.7910202026537</v>
      </c>
      <c r="G366" s="196">
        <f t="shared" si="27"/>
        <v>2202.1722671392195</v>
      </c>
    </row>
    <row r="367" spans="3:7" ht="14.25" hidden="1" outlineLevel="1" thickBot="1" thickTop="1">
      <c r="C367" s="182" t="s">
        <v>145</v>
      </c>
      <c r="D367" s="22">
        <v>209</v>
      </c>
      <c r="E367" s="194">
        <f t="shared" si="25"/>
        <v>600.5233367345389</v>
      </c>
      <c r="F367" s="195">
        <f t="shared" si="26"/>
        <v>1601.6489304046804</v>
      </c>
      <c r="G367" s="196">
        <f t="shared" si="27"/>
        <v>2202.1722671392195</v>
      </c>
    </row>
    <row r="368" spans="3:7" ht="14.25" hidden="1" outlineLevel="1" thickBot="1" thickTop="1">
      <c r="C368" s="182" t="s">
        <v>145</v>
      </c>
      <c r="D368" s="22">
        <v>210</v>
      </c>
      <c r="E368" s="194">
        <f t="shared" si="25"/>
        <v>584.5068474304909</v>
      </c>
      <c r="F368" s="195">
        <f t="shared" si="26"/>
        <v>1617.6654197087287</v>
      </c>
      <c r="G368" s="196">
        <f t="shared" si="27"/>
        <v>2202.1722671392195</v>
      </c>
    </row>
    <row r="369" spans="3:7" ht="14.25" hidden="1" outlineLevel="1" thickBot="1" thickTop="1">
      <c r="C369" s="182" t="s">
        <v>145</v>
      </c>
      <c r="D369" s="22">
        <v>211</v>
      </c>
      <c r="E369" s="194">
        <f t="shared" si="25"/>
        <v>568.3301932334039</v>
      </c>
      <c r="F369" s="195">
        <f t="shared" si="26"/>
        <v>1633.8420739058156</v>
      </c>
      <c r="G369" s="196">
        <f t="shared" si="27"/>
        <v>2202.1722671392195</v>
      </c>
    </row>
    <row r="370" spans="3:7" ht="14.25" hidden="1" outlineLevel="1" thickBot="1" thickTop="1">
      <c r="C370" s="182" t="s">
        <v>145</v>
      </c>
      <c r="D370" s="22">
        <v>212</v>
      </c>
      <c r="E370" s="194">
        <f t="shared" si="25"/>
        <v>551.9917724943464</v>
      </c>
      <c r="F370" s="195">
        <f t="shared" si="26"/>
        <v>1650.180494644873</v>
      </c>
      <c r="G370" s="196">
        <f t="shared" si="27"/>
        <v>2202.1722671392195</v>
      </c>
    </row>
    <row r="371" spans="3:7" ht="14.25" hidden="1" outlineLevel="1" thickBot="1" thickTop="1">
      <c r="C371" s="182" t="s">
        <v>145</v>
      </c>
      <c r="D371" s="22">
        <v>213</v>
      </c>
      <c r="E371" s="194">
        <f t="shared" si="25"/>
        <v>535.4899675478972</v>
      </c>
      <c r="F371" s="195">
        <f t="shared" si="26"/>
        <v>1666.6822995913221</v>
      </c>
      <c r="G371" s="196">
        <f t="shared" si="27"/>
        <v>2202.1722671392195</v>
      </c>
    </row>
    <row r="372" spans="3:7" ht="14.25" hidden="1" outlineLevel="1" thickBot="1" thickTop="1">
      <c r="C372" s="182" t="s">
        <v>145</v>
      </c>
      <c r="D372" s="22">
        <v>214</v>
      </c>
      <c r="E372" s="194">
        <f t="shared" si="25"/>
        <v>518.8231445519813</v>
      </c>
      <c r="F372" s="195">
        <f t="shared" si="26"/>
        <v>1683.349122587238</v>
      </c>
      <c r="G372" s="196">
        <f t="shared" si="27"/>
        <v>2202.1722671392195</v>
      </c>
    </row>
    <row r="373" spans="3:7" ht="14.25" hidden="1" outlineLevel="1" thickBot="1" thickTop="1">
      <c r="C373" s="182" t="s">
        <v>145</v>
      </c>
      <c r="D373" s="22">
        <v>215</v>
      </c>
      <c r="E373" s="194">
        <f t="shared" si="25"/>
        <v>501.98965332611</v>
      </c>
      <c r="F373" s="195">
        <f t="shared" si="26"/>
        <v>1700.1826138131096</v>
      </c>
      <c r="G373" s="196">
        <f t="shared" si="27"/>
        <v>2202.1722671392195</v>
      </c>
    </row>
    <row r="374" spans="3:7" ht="14.25" hidden="1" outlineLevel="1" thickBot="1" thickTop="1">
      <c r="C374" s="182" t="s">
        <v>145</v>
      </c>
      <c r="D374" s="22">
        <v>216</v>
      </c>
      <c r="E374" s="194">
        <f t="shared" si="25"/>
        <v>484.9878271879791</v>
      </c>
      <c r="F374" s="195">
        <f t="shared" si="26"/>
        <v>1717.1844399512404</v>
      </c>
      <c r="G374" s="196">
        <f t="shared" si="27"/>
        <v>2202.1722671392195</v>
      </c>
    </row>
    <row r="375" spans="3:7" ht="14.25" hidden="1" outlineLevel="1" thickBot="1" thickTop="1">
      <c r="C375" s="182" t="s">
        <v>145</v>
      </c>
      <c r="D375" s="22">
        <v>217</v>
      </c>
      <c r="E375" s="194">
        <f t="shared" si="25"/>
        <v>467.81598278846593</v>
      </c>
      <c r="F375" s="195">
        <f t="shared" si="26"/>
        <v>1734.3562843507534</v>
      </c>
      <c r="G375" s="196">
        <f t="shared" si="27"/>
        <v>2202.1722671392195</v>
      </c>
    </row>
    <row r="376" spans="3:7" ht="14.25" hidden="1" outlineLevel="1" thickBot="1" thickTop="1">
      <c r="C376" s="182" t="s">
        <v>145</v>
      </c>
      <c r="D376" s="22">
        <v>218</v>
      </c>
      <c r="E376" s="194">
        <f t="shared" si="25"/>
        <v>450.4724199449597</v>
      </c>
      <c r="F376" s="195">
        <f t="shared" si="26"/>
        <v>1751.6998471942597</v>
      </c>
      <c r="G376" s="196">
        <f t="shared" si="27"/>
        <v>2202.1722671392195</v>
      </c>
    </row>
    <row r="377" spans="3:7" ht="14.25" hidden="1" outlineLevel="1" thickBot="1" thickTop="1">
      <c r="C377" s="182" t="s">
        <v>145</v>
      </c>
      <c r="D377" s="22">
        <v>219</v>
      </c>
      <c r="E377" s="194">
        <f t="shared" si="25"/>
        <v>432.95542147301603</v>
      </c>
      <c r="F377" s="195">
        <f t="shared" si="26"/>
        <v>1769.2168456662034</v>
      </c>
      <c r="G377" s="196">
        <f t="shared" si="27"/>
        <v>2202.1722671392195</v>
      </c>
    </row>
    <row r="378" spans="3:7" ht="14.25" hidden="1" outlineLevel="1" thickBot="1" thickTop="1">
      <c r="C378" s="182" t="s">
        <v>145</v>
      </c>
      <c r="D378" s="22">
        <v>220</v>
      </c>
      <c r="E378" s="194">
        <f t="shared" si="25"/>
        <v>415.26325301635313</v>
      </c>
      <c r="F378" s="195">
        <f t="shared" si="26"/>
        <v>1786.9090141228662</v>
      </c>
      <c r="G378" s="196">
        <f t="shared" si="27"/>
        <v>2202.1722671392195</v>
      </c>
    </row>
    <row r="379" spans="3:7" ht="14.25" hidden="1" outlineLevel="1" thickBot="1" thickTop="1">
      <c r="C379" s="182" t="s">
        <v>145</v>
      </c>
      <c r="D379" s="22">
        <v>221</v>
      </c>
      <c r="E379" s="194">
        <f t="shared" si="25"/>
        <v>397.3941628751275</v>
      </c>
      <c r="F379" s="195">
        <f t="shared" si="26"/>
        <v>1804.778104264092</v>
      </c>
      <c r="G379" s="196">
        <f t="shared" si="27"/>
        <v>2202.1722671392195</v>
      </c>
    </row>
    <row r="380" spans="3:7" ht="14.25" hidden="1" outlineLevel="1" thickBot="1" thickTop="1">
      <c r="C380" s="182" t="s">
        <v>145</v>
      </c>
      <c r="D380" s="22">
        <v>222</v>
      </c>
      <c r="E380" s="194">
        <f t="shared" si="25"/>
        <v>379.3463818324846</v>
      </c>
      <c r="F380" s="195">
        <f t="shared" si="26"/>
        <v>1822.8258853067348</v>
      </c>
      <c r="G380" s="196">
        <f t="shared" si="27"/>
        <v>2202.1722671392195</v>
      </c>
    </row>
    <row r="381" spans="3:7" ht="14.25" hidden="1" outlineLevel="1" thickBot="1" thickTop="1">
      <c r="C381" s="182" t="s">
        <v>145</v>
      </c>
      <c r="D381" s="22">
        <v>223</v>
      </c>
      <c r="E381" s="194">
        <f t="shared" si="25"/>
        <v>361.11812297941884</v>
      </c>
      <c r="F381" s="195">
        <f t="shared" si="26"/>
        <v>1841.0541441598007</v>
      </c>
      <c r="G381" s="196">
        <f t="shared" si="27"/>
        <v>2202.1722671392195</v>
      </c>
    </row>
    <row r="382" spans="3:7" ht="14.25" hidden="1" outlineLevel="1" thickBot="1" thickTop="1">
      <c r="C382" s="182" t="s">
        <v>145</v>
      </c>
      <c r="D382" s="22">
        <v>224</v>
      </c>
      <c r="E382" s="194">
        <f t="shared" si="25"/>
        <v>342.7075815378199</v>
      </c>
      <c r="F382" s="195">
        <f t="shared" si="26"/>
        <v>1859.4646856013997</v>
      </c>
      <c r="G382" s="196">
        <f t="shared" si="27"/>
        <v>2202.1722671392195</v>
      </c>
    </row>
    <row r="383" spans="3:7" ht="14.25" hidden="1" outlineLevel="1" thickBot="1" thickTop="1">
      <c r="C383" s="182" t="s">
        <v>145</v>
      </c>
      <c r="D383" s="22">
        <v>225</v>
      </c>
      <c r="E383" s="194">
        <f t="shared" si="25"/>
        <v>324.11293468180577</v>
      </c>
      <c r="F383" s="195">
        <f t="shared" si="26"/>
        <v>1878.0593324574138</v>
      </c>
      <c r="G383" s="196">
        <f t="shared" si="27"/>
        <v>2202.1722671392195</v>
      </c>
    </row>
    <row r="384" spans="3:7" ht="14.25" hidden="1" outlineLevel="1" thickBot="1" thickTop="1">
      <c r="C384" s="182" t="s">
        <v>145</v>
      </c>
      <c r="D384" s="22">
        <v>226</v>
      </c>
      <c r="E384" s="194">
        <f t="shared" si="25"/>
        <v>305.3323413572344</v>
      </c>
      <c r="F384" s="195">
        <f t="shared" si="26"/>
        <v>1896.8399257819851</v>
      </c>
      <c r="G384" s="196">
        <f t="shared" si="27"/>
        <v>2202.1722671392195</v>
      </c>
    </row>
    <row r="385" spans="3:7" ht="14.25" hidden="1" outlineLevel="1" thickBot="1" thickTop="1">
      <c r="C385" s="182" t="s">
        <v>145</v>
      </c>
      <c r="D385" s="22">
        <v>227</v>
      </c>
      <c r="E385" s="194">
        <f t="shared" si="25"/>
        <v>286.3639420994092</v>
      </c>
      <c r="F385" s="195">
        <f t="shared" si="26"/>
        <v>1915.8083250398104</v>
      </c>
      <c r="G385" s="196">
        <f t="shared" si="27"/>
        <v>2202.1722671392195</v>
      </c>
    </row>
    <row r="386" spans="3:7" ht="14.25" hidden="1" outlineLevel="1" thickBot="1" thickTop="1">
      <c r="C386" s="182" t="s">
        <v>145</v>
      </c>
      <c r="D386" s="22">
        <v>228</v>
      </c>
      <c r="E386" s="194">
        <f t="shared" si="25"/>
        <v>267.2058588490123</v>
      </c>
      <c r="F386" s="195">
        <f t="shared" si="26"/>
        <v>1934.9664082902073</v>
      </c>
      <c r="G386" s="196">
        <f t="shared" si="27"/>
        <v>2202.1722671392195</v>
      </c>
    </row>
    <row r="387" spans="3:7" ht="14.25" hidden="1" outlineLevel="1" thickBot="1" thickTop="1">
      <c r="C387" s="182" t="s">
        <v>145</v>
      </c>
      <c r="D387" s="22">
        <v>229</v>
      </c>
      <c r="E387" s="194">
        <f t="shared" si="25"/>
        <v>247.85619476611262</v>
      </c>
      <c r="F387" s="195">
        <f t="shared" si="26"/>
        <v>1954.3160723731069</v>
      </c>
      <c r="G387" s="196">
        <f t="shared" si="27"/>
        <v>2202.1722671392195</v>
      </c>
    </row>
    <row r="388" spans="3:7" ht="14.25" hidden="1" outlineLevel="1" thickBot="1" thickTop="1">
      <c r="C388" s="182" t="s">
        <v>145</v>
      </c>
      <c r="D388" s="22">
        <v>230</v>
      </c>
      <c r="E388" s="194">
        <f t="shared" si="25"/>
        <v>228.31303404238076</v>
      </c>
      <c r="F388" s="195">
        <f t="shared" si="26"/>
        <v>1973.8592330968386</v>
      </c>
      <c r="G388" s="196">
        <f t="shared" si="27"/>
        <v>2202.1722671392195</v>
      </c>
    </row>
    <row r="389" spans="3:7" ht="14.25" collapsed="1" thickBot="1" thickTop="1">
      <c r="C389" s="225" t="s">
        <v>145</v>
      </c>
      <c r="D389" s="226">
        <v>231</v>
      </c>
      <c r="E389" s="227">
        <f t="shared" si="25"/>
        <v>208.57444171141367</v>
      </c>
      <c r="F389" s="228">
        <f t="shared" si="26"/>
        <v>1993.5978254278057</v>
      </c>
      <c r="G389" s="229">
        <f t="shared" si="27"/>
        <v>2202.1722671392195</v>
      </c>
    </row>
    <row r="390" spans="3:7" ht="14.25" thickBot="1" thickTop="1">
      <c r="C390" s="225" t="s">
        <v>145</v>
      </c>
      <c r="D390" s="226">
        <v>232</v>
      </c>
      <c r="E390" s="227">
        <f t="shared" si="25"/>
        <v>188.63846345713594</v>
      </c>
      <c r="F390" s="228">
        <f t="shared" si="26"/>
        <v>2013.5338036820835</v>
      </c>
      <c r="G390" s="229">
        <f t="shared" si="27"/>
        <v>2202.1722671392195</v>
      </c>
    </row>
    <row r="391" spans="3:7" ht="14.25" thickBot="1" thickTop="1">
      <c r="C391" s="225" t="s">
        <v>145</v>
      </c>
      <c r="D391" s="226">
        <v>233</v>
      </c>
      <c r="E391" s="227">
        <f t="shared" si="25"/>
        <v>168.5031254203152</v>
      </c>
      <c r="F391" s="228">
        <f t="shared" si="26"/>
        <v>2033.6691417189043</v>
      </c>
      <c r="G391" s="229">
        <f t="shared" si="27"/>
        <v>2202.1722671392195</v>
      </c>
    </row>
    <row r="392" spans="3:7" ht="14.25" thickBot="1" thickTop="1">
      <c r="C392" s="225" t="s">
        <v>145</v>
      </c>
      <c r="D392" s="226">
        <v>234</v>
      </c>
      <c r="E392" s="227">
        <f t="shared" si="25"/>
        <v>148.166434003124</v>
      </c>
      <c r="F392" s="228">
        <f t="shared" si="26"/>
        <v>2054.0058331360956</v>
      </c>
      <c r="G392" s="229">
        <f t="shared" si="27"/>
        <v>2202.1722671392195</v>
      </c>
    </row>
    <row r="393" spans="3:7" ht="14.25" thickBot="1" thickTop="1">
      <c r="C393" s="225" t="s">
        <v>145</v>
      </c>
      <c r="D393" s="226">
        <v>235</v>
      </c>
      <c r="E393" s="227">
        <f t="shared" si="25"/>
        <v>127.62637567176252</v>
      </c>
      <c r="F393" s="228">
        <f t="shared" si="26"/>
        <v>2074.545891467457</v>
      </c>
      <c r="G393" s="229">
        <f t="shared" si="27"/>
        <v>2202.1722671392195</v>
      </c>
    </row>
    <row r="394" spans="3:7" ht="14.25" thickBot="1" thickTop="1">
      <c r="C394" s="225" t="s">
        <v>145</v>
      </c>
      <c r="D394" s="226">
        <v>236</v>
      </c>
      <c r="E394" s="227">
        <f t="shared" si="25"/>
        <v>106.88091675708769</v>
      </c>
      <c r="F394" s="228">
        <f t="shared" si="26"/>
        <v>2095.291350382132</v>
      </c>
      <c r="G394" s="229">
        <f t="shared" si="27"/>
        <v>2202.1722671392195</v>
      </c>
    </row>
    <row r="395" spans="3:7" ht="14.25" thickBot="1" thickTop="1">
      <c r="C395" s="225" t="s">
        <v>145</v>
      </c>
      <c r="D395" s="226">
        <v>237</v>
      </c>
      <c r="E395" s="227">
        <f t="shared" si="25"/>
        <v>85.92800325326621</v>
      </c>
      <c r="F395" s="228">
        <f t="shared" si="26"/>
        <v>2116.2442638859534</v>
      </c>
      <c r="G395" s="229">
        <f t="shared" si="27"/>
        <v>2202.1722671392195</v>
      </c>
    </row>
    <row r="396" spans="3:7" ht="14.25" thickBot="1" thickTop="1">
      <c r="C396" s="225" t="s">
        <v>145</v>
      </c>
      <c r="D396" s="226">
        <v>238</v>
      </c>
      <c r="E396" s="227">
        <f t="shared" si="25"/>
        <v>64.76556061440613</v>
      </c>
      <c r="F396" s="228">
        <f t="shared" si="26"/>
        <v>2137.406706524813</v>
      </c>
      <c r="G396" s="229">
        <f t="shared" si="27"/>
        <v>2202.1722671392195</v>
      </c>
    </row>
    <row r="397" spans="3:7" ht="14.25" thickBot="1" thickTop="1">
      <c r="C397" s="225" t="s">
        <v>145</v>
      </c>
      <c r="D397" s="226">
        <v>239</v>
      </c>
      <c r="E397" s="227">
        <f t="shared" si="25"/>
        <v>43.39149354916066</v>
      </c>
      <c r="F397" s="228">
        <f t="shared" si="26"/>
        <v>2158.7807735900587</v>
      </c>
      <c r="G397" s="229">
        <f t="shared" si="27"/>
        <v>2202.1722671392195</v>
      </c>
    </row>
    <row r="398" spans="3:7" ht="13.5" thickTop="1">
      <c r="C398" s="225" t="s">
        <v>145</v>
      </c>
      <c r="D398" s="226">
        <v>240</v>
      </c>
      <c r="E398" s="227">
        <f t="shared" si="25"/>
        <v>21.803685813262128</v>
      </c>
      <c r="F398" s="228">
        <f t="shared" si="26"/>
        <v>2180.368581325957</v>
      </c>
      <c r="G398" s="229">
        <f t="shared" si="27"/>
        <v>2202.1722671392195</v>
      </c>
    </row>
    <row r="434" ht="12" customHeight="1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1"/>
  <sheetViews>
    <sheetView workbookViewId="0" topLeftCell="A1">
      <selection activeCell="A1" sqref="A1"/>
    </sheetView>
  </sheetViews>
  <sheetFormatPr defaultColWidth="9.140625" defaultRowHeight="12.75" outlineLevelRow="1"/>
  <cols>
    <col min="2" max="2" width="9.00390625" style="0" customWidth="1"/>
    <col min="3" max="3" width="14.421875" style="0" customWidth="1"/>
    <col min="4" max="4" width="11.28125" style="0" customWidth="1"/>
    <col min="5" max="5" width="14.28125" style="0" bestFit="1" customWidth="1"/>
    <col min="6" max="6" width="10.7109375" style="0" bestFit="1" customWidth="1"/>
    <col min="7" max="7" width="9.57421875" style="0" customWidth="1"/>
    <col min="8" max="8" width="9.28125" style="0" bestFit="1" customWidth="1"/>
    <col min="9" max="9" width="13.421875" style="0" bestFit="1" customWidth="1"/>
    <col min="11" max="11" width="11.00390625" style="0" bestFit="1" customWidth="1"/>
    <col min="13" max="13" width="11.28125" style="0" bestFit="1" customWidth="1"/>
    <col min="28" max="28" width="11.7109375" style="0" bestFit="1" customWidth="1"/>
  </cols>
  <sheetData>
    <row r="1" ht="12.75">
      <c r="A1" t="s">
        <v>99</v>
      </c>
    </row>
    <row r="2" ht="12.75">
      <c r="A2" s="99" t="s">
        <v>98</v>
      </c>
    </row>
    <row r="3" ht="12.75">
      <c r="A3" s="99" t="s">
        <v>190</v>
      </c>
    </row>
    <row r="5" ht="12.75">
      <c r="A5" t="s">
        <v>205</v>
      </c>
    </row>
    <row r="7" spans="1:9" ht="12.75">
      <c r="A7" s="36" t="s">
        <v>204</v>
      </c>
      <c r="B7" s="1" t="s">
        <v>109</v>
      </c>
      <c r="C7" s="231" t="s">
        <v>204</v>
      </c>
      <c r="D7" s="1" t="s">
        <v>167</v>
      </c>
      <c r="I7" s="126" t="s">
        <v>7</v>
      </c>
    </row>
    <row r="8" spans="1:9" ht="12.75">
      <c r="A8" s="36" t="s">
        <v>204</v>
      </c>
      <c r="B8" s="1" t="s">
        <v>165</v>
      </c>
      <c r="C8" s="231" t="s">
        <v>204</v>
      </c>
      <c r="D8" s="1" t="s">
        <v>165</v>
      </c>
      <c r="I8" s="126"/>
    </row>
    <row r="9" spans="1:4" ht="12.75">
      <c r="A9" t="s">
        <v>7</v>
      </c>
      <c r="B9" s="230" t="s">
        <v>202</v>
      </c>
      <c r="C9" s="1"/>
      <c r="D9" s="230" t="s">
        <v>203</v>
      </c>
    </row>
    <row r="10" spans="2:4" ht="12.75">
      <c r="B10" s="230" t="s">
        <v>126</v>
      </c>
      <c r="C10" s="1"/>
      <c r="D10" s="1"/>
    </row>
    <row r="11" spans="2:4" ht="12.75">
      <c r="B11" s="230" t="s">
        <v>128</v>
      </c>
      <c r="C11" s="1"/>
      <c r="D11" s="1"/>
    </row>
    <row r="12" spans="2:4" ht="12.75">
      <c r="B12" s="230" t="s">
        <v>132</v>
      </c>
      <c r="C12" s="1"/>
      <c r="D12" s="1"/>
    </row>
    <row r="14" ht="12.75">
      <c r="A14" t="s">
        <v>206</v>
      </c>
    </row>
    <row r="16" spans="1:4" ht="12.75">
      <c r="A16" s="36" t="s">
        <v>7</v>
      </c>
      <c r="B16" s="230" t="s">
        <v>109</v>
      </c>
      <c r="C16" s="36" t="s">
        <v>204</v>
      </c>
      <c r="D16" s="1" t="s">
        <v>167</v>
      </c>
    </row>
    <row r="17" spans="1:4" ht="12.75">
      <c r="A17" s="231" t="s">
        <v>204</v>
      </c>
      <c r="B17" s="1" t="s">
        <v>165</v>
      </c>
      <c r="C17" s="231" t="s">
        <v>204</v>
      </c>
      <c r="D17" s="1" t="s">
        <v>165</v>
      </c>
    </row>
    <row r="18" spans="2:4" ht="12.75">
      <c r="B18" s="230" t="s">
        <v>202</v>
      </c>
      <c r="C18" s="231" t="s">
        <v>204</v>
      </c>
      <c r="D18" s="1" t="s">
        <v>203</v>
      </c>
    </row>
    <row r="19" ht="12.75">
      <c r="B19" s="230" t="s">
        <v>126</v>
      </c>
    </row>
    <row r="20" ht="12.75">
      <c r="B20" s="230" t="s">
        <v>128</v>
      </c>
    </row>
    <row r="21" ht="12.75">
      <c r="B21" s="230" t="s">
        <v>132</v>
      </c>
    </row>
    <row r="23" ht="12.75">
      <c r="A23" t="s">
        <v>207</v>
      </c>
    </row>
    <row r="25" spans="1:4" ht="12.75">
      <c r="A25" s="231" t="s">
        <v>204</v>
      </c>
      <c r="B25" s="1" t="s">
        <v>109</v>
      </c>
      <c r="C25" s="231" t="s">
        <v>204</v>
      </c>
      <c r="D25" s="1" t="s">
        <v>167</v>
      </c>
    </row>
    <row r="26" spans="1:4" ht="12.75">
      <c r="A26" s="231" t="s">
        <v>204</v>
      </c>
      <c r="B26" s="1" t="s">
        <v>165</v>
      </c>
      <c r="C26" s="231" t="s">
        <v>204</v>
      </c>
      <c r="D26" s="1" t="s">
        <v>165</v>
      </c>
    </row>
    <row r="27" spans="1:4" ht="12.75">
      <c r="A27" s="231" t="s">
        <v>204</v>
      </c>
      <c r="B27" s="1" t="s">
        <v>202</v>
      </c>
      <c r="C27" s="231" t="s">
        <v>204</v>
      </c>
      <c r="D27" s="1" t="s">
        <v>203</v>
      </c>
    </row>
    <row r="28" spans="1:4" ht="12.75">
      <c r="A28" s="231" t="s">
        <v>204</v>
      </c>
      <c r="B28" s="1" t="s">
        <v>126</v>
      </c>
      <c r="C28" s="107"/>
      <c r="D28" s="107"/>
    </row>
    <row r="29" spans="1:4" ht="12.75">
      <c r="A29" s="231" t="s">
        <v>204</v>
      </c>
      <c r="B29" s="1" t="s">
        <v>128</v>
      </c>
      <c r="C29" s="107"/>
      <c r="D29" s="107"/>
    </row>
    <row r="30" spans="1:2" ht="12.75">
      <c r="A30" s="231" t="s">
        <v>204</v>
      </c>
      <c r="B30" s="230" t="s">
        <v>132</v>
      </c>
    </row>
    <row r="36" ht="12.75">
      <c r="A36" t="s">
        <v>2</v>
      </c>
    </row>
    <row r="37" ht="12.75">
      <c r="A37" t="s">
        <v>0</v>
      </c>
    </row>
    <row r="38" spans="1:9" ht="12.75">
      <c r="A38" t="s">
        <v>1</v>
      </c>
      <c r="I38" s="2" t="s">
        <v>7</v>
      </c>
    </row>
    <row r="39" ht="12.75">
      <c r="I39" s="2"/>
    </row>
    <row r="40" spans="1:9" ht="12.75">
      <c r="A40" t="s">
        <v>107</v>
      </c>
      <c r="I40" s="2"/>
    </row>
    <row r="41" ht="13.5" thickBot="1">
      <c r="I41" s="2"/>
    </row>
    <row r="42" spans="2:9" ht="13.5" thickTop="1">
      <c r="B42" s="79" t="s">
        <v>55</v>
      </c>
      <c r="C42" s="121" t="s">
        <v>168</v>
      </c>
      <c r="D42" s="18" t="s">
        <v>7</v>
      </c>
      <c r="E42" s="131">
        <v>0</v>
      </c>
      <c r="F42" s="175">
        <v>0.1</v>
      </c>
      <c r="G42" s="197">
        <f>F42</f>
        <v>0.1</v>
      </c>
      <c r="H42" s="181" t="s">
        <v>169</v>
      </c>
      <c r="I42" s="2"/>
    </row>
    <row r="43" spans="2:10" ht="12.75">
      <c r="B43" s="79"/>
      <c r="C43" s="122">
        <v>1</v>
      </c>
      <c r="D43" s="19" t="s">
        <v>5</v>
      </c>
      <c r="E43" s="124" t="s">
        <v>8</v>
      </c>
      <c r="F43" s="144" t="s">
        <v>16</v>
      </c>
      <c r="G43" s="199" t="s">
        <v>108</v>
      </c>
      <c r="H43" s="206"/>
      <c r="I43" s="207" t="e">
        <f>IRR(D45:D51)</f>
        <v>#NUM!</v>
      </c>
      <c r="J43" s="208" t="s">
        <v>191</v>
      </c>
    </row>
    <row r="44" spans="3:10" ht="13.5" thickBot="1">
      <c r="C44" s="123" t="s">
        <v>118</v>
      </c>
      <c r="D44" s="20" t="s">
        <v>6</v>
      </c>
      <c r="E44" s="125" t="s">
        <v>115</v>
      </c>
      <c r="F44" s="145" t="s">
        <v>17</v>
      </c>
      <c r="G44" s="200" t="s">
        <v>17</v>
      </c>
      <c r="H44" s="206"/>
      <c r="I44" s="2" t="s">
        <v>110</v>
      </c>
      <c r="J44" s="208" t="s">
        <v>192</v>
      </c>
    </row>
    <row r="45" spans="3:10" ht="14.25" thickBot="1" thickTop="1">
      <c r="C45" s="18">
        <v>0</v>
      </c>
      <c r="D45" s="23">
        <v>0</v>
      </c>
      <c r="E45" s="15">
        <f>D45</f>
        <v>0</v>
      </c>
      <c r="F45" s="215"/>
      <c r="G45" s="120"/>
      <c r="H45" s="206"/>
      <c r="I45" s="2" t="s">
        <v>110</v>
      </c>
      <c r="J45" s="208" t="s">
        <v>193</v>
      </c>
    </row>
    <row r="46" spans="2:10" ht="13.5" thickTop="1">
      <c r="B46" s="2" t="s">
        <v>172</v>
      </c>
      <c r="C46" s="19">
        <v>1</v>
      </c>
      <c r="D46" s="24">
        <v>0</v>
      </c>
      <c r="E46" s="16">
        <f aca="true" t="shared" si="0" ref="E46:E51">E45+D46</f>
        <v>0</v>
      </c>
      <c r="F46" s="128"/>
      <c r="G46" s="129"/>
      <c r="H46" s="18" t="s">
        <v>165</v>
      </c>
      <c r="I46" s="2" t="s">
        <v>110</v>
      </c>
      <c r="J46" s="208" t="s">
        <v>194</v>
      </c>
    </row>
    <row r="47" spans="2:10" ht="13.5" thickBot="1">
      <c r="B47" s="2" t="s">
        <v>173</v>
      </c>
      <c r="C47" s="19">
        <v>2</v>
      </c>
      <c r="D47" s="24">
        <v>0</v>
      </c>
      <c r="E47" s="16">
        <f t="shared" si="0"/>
        <v>0</v>
      </c>
      <c r="F47" s="128"/>
      <c r="G47" s="129"/>
      <c r="H47" s="20" t="s">
        <v>166</v>
      </c>
      <c r="I47" s="215" t="s">
        <v>7</v>
      </c>
      <c r="J47" s="181" t="s">
        <v>195</v>
      </c>
    </row>
    <row r="48" spans="2:10" ht="13.5" thickTop="1">
      <c r="B48" s="2" t="s">
        <v>174</v>
      </c>
      <c r="C48" s="19">
        <v>3</v>
      </c>
      <c r="D48" s="24">
        <v>22000</v>
      </c>
      <c r="E48" s="16">
        <f t="shared" si="0"/>
        <v>22000</v>
      </c>
      <c r="F48" s="128"/>
      <c r="G48" s="129"/>
      <c r="H48" s="211"/>
      <c r="I48" s="218" t="s">
        <v>7</v>
      </c>
      <c r="J48" s="198" t="s">
        <v>196</v>
      </c>
    </row>
    <row r="49" spans="2:10" ht="12.75">
      <c r="B49" s="2" t="s">
        <v>175</v>
      </c>
      <c r="C49" s="19">
        <v>4</v>
      </c>
      <c r="D49" s="24">
        <v>0</v>
      </c>
      <c r="E49" s="16">
        <f t="shared" si="0"/>
        <v>22000</v>
      </c>
      <c r="F49" s="128"/>
      <c r="G49" s="129"/>
      <c r="H49" s="212"/>
      <c r="I49" s="2" t="s">
        <v>110</v>
      </c>
      <c r="J49" s="208" t="s">
        <v>197</v>
      </c>
    </row>
    <row r="50" spans="2:9" ht="12.75">
      <c r="B50" s="2" t="s">
        <v>176</v>
      </c>
      <c r="C50" s="19">
        <v>5</v>
      </c>
      <c r="D50" s="24">
        <v>0</v>
      </c>
      <c r="E50" s="16">
        <f t="shared" si="0"/>
        <v>22000</v>
      </c>
      <c r="F50" s="128"/>
      <c r="G50" s="129"/>
      <c r="H50" s="212"/>
      <c r="I50" s="2"/>
    </row>
    <row r="51" spans="2:9" ht="13.5" thickBot="1">
      <c r="B51" s="2" t="s">
        <v>177</v>
      </c>
      <c r="C51" s="20">
        <v>6</v>
      </c>
      <c r="D51" s="25">
        <v>0</v>
      </c>
      <c r="E51" s="17">
        <f t="shared" si="0"/>
        <v>22000</v>
      </c>
      <c r="F51" s="130"/>
      <c r="G51" s="217"/>
      <c r="H51" s="236"/>
      <c r="I51" s="2"/>
    </row>
    <row r="52" spans="5:9" ht="14.25" thickBot="1" thickTop="1">
      <c r="E52" s="2"/>
      <c r="I52" s="2"/>
    </row>
    <row r="53" spans="2:9" ht="13.5" thickTop="1">
      <c r="B53" s="79" t="s">
        <v>64</v>
      </c>
      <c r="C53" s="121" t="s">
        <v>168</v>
      </c>
      <c r="D53" s="18" t="s">
        <v>7</v>
      </c>
      <c r="E53" s="131">
        <v>0</v>
      </c>
      <c r="F53" s="204">
        <v>0.1</v>
      </c>
      <c r="G53" s="201">
        <f>F53</f>
        <v>0.1</v>
      </c>
      <c r="H53" s="181" t="s">
        <v>169</v>
      </c>
      <c r="I53" s="2"/>
    </row>
    <row r="54" spans="2:10" ht="12.75">
      <c r="B54" s="79"/>
      <c r="C54" s="122">
        <v>4</v>
      </c>
      <c r="D54" s="19" t="s">
        <v>5</v>
      </c>
      <c r="E54" s="124" t="s">
        <v>8</v>
      </c>
      <c r="F54" s="59" t="s">
        <v>16</v>
      </c>
      <c r="G54" s="202" t="s">
        <v>108</v>
      </c>
      <c r="H54" s="206"/>
      <c r="I54" s="207" t="e">
        <f>IRR(D56:D62)</f>
        <v>#NUM!</v>
      </c>
      <c r="J54" s="208" t="s">
        <v>191</v>
      </c>
    </row>
    <row r="55" spans="3:10" ht="13.5" thickBot="1">
      <c r="C55" s="123" t="s">
        <v>117</v>
      </c>
      <c r="D55" s="20" t="s">
        <v>6</v>
      </c>
      <c r="E55" s="125" t="s">
        <v>115</v>
      </c>
      <c r="F55" s="205" t="s">
        <v>17</v>
      </c>
      <c r="G55" s="203" t="s">
        <v>17</v>
      </c>
      <c r="H55" s="206"/>
      <c r="I55" s="2" t="s">
        <v>110</v>
      </c>
      <c r="J55" s="208" t="s">
        <v>192</v>
      </c>
    </row>
    <row r="56" spans="3:10" ht="14.25" thickBot="1" thickTop="1">
      <c r="C56" s="18">
        <v>0</v>
      </c>
      <c r="D56" s="23">
        <v>0</v>
      </c>
      <c r="E56" s="15">
        <f>D56</f>
        <v>0</v>
      </c>
      <c r="F56" s="215"/>
      <c r="G56" s="120"/>
      <c r="H56" s="206"/>
      <c r="I56" s="2" t="s">
        <v>110</v>
      </c>
      <c r="J56" s="208" t="s">
        <v>193</v>
      </c>
    </row>
    <row r="57" spans="2:10" ht="13.5" thickTop="1">
      <c r="B57" t="s">
        <v>178</v>
      </c>
      <c r="C57" s="19">
        <v>1</v>
      </c>
      <c r="D57" s="24">
        <v>0</v>
      </c>
      <c r="E57" s="16">
        <f aca="true" t="shared" si="1" ref="E57:E62">E56+D57</f>
        <v>0</v>
      </c>
      <c r="F57" s="128"/>
      <c r="G57" s="129"/>
      <c r="H57" s="18" t="s">
        <v>165</v>
      </c>
      <c r="I57" s="2" t="s">
        <v>110</v>
      </c>
      <c r="J57" s="208" t="s">
        <v>194</v>
      </c>
    </row>
    <row r="58" spans="2:10" ht="13.5" thickBot="1">
      <c r="B58" t="s">
        <v>179</v>
      </c>
      <c r="C58" s="19">
        <v>2</v>
      </c>
      <c r="D58" s="24">
        <v>0</v>
      </c>
      <c r="E58" s="16">
        <f t="shared" si="1"/>
        <v>0</v>
      </c>
      <c r="F58" s="128"/>
      <c r="G58" s="129"/>
      <c r="H58" s="20" t="s">
        <v>166</v>
      </c>
      <c r="I58" s="215"/>
      <c r="J58" s="181" t="s">
        <v>195</v>
      </c>
    </row>
    <row r="59" spans="2:10" ht="13.5" thickTop="1">
      <c r="B59" t="s">
        <v>180</v>
      </c>
      <c r="C59" s="19">
        <v>3</v>
      </c>
      <c r="D59" s="24">
        <v>22000</v>
      </c>
      <c r="E59" s="16">
        <f t="shared" si="1"/>
        <v>22000</v>
      </c>
      <c r="F59" s="128"/>
      <c r="G59" s="129"/>
      <c r="H59" s="211"/>
      <c r="I59" s="218"/>
      <c r="J59" s="198" t="s">
        <v>196</v>
      </c>
    </row>
    <row r="60" spans="2:10" ht="12.75">
      <c r="B60" t="s">
        <v>181</v>
      </c>
      <c r="C60" s="19">
        <v>4</v>
      </c>
      <c r="D60" s="24">
        <v>0</v>
      </c>
      <c r="E60" s="16">
        <f t="shared" si="1"/>
        <v>22000</v>
      </c>
      <c r="F60" s="128"/>
      <c r="G60" s="129"/>
      <c r="H60" s="212"/>
      <c r="I60" s="2" t="s">
        <v>110</v>
      </c>
      <c r="J60" s="208" t="s">
        <v>197</v>
      </c>
    </row>
    <row r="61" spans="2:9" ht="12.75">
      <c r="B61" t="s">
        <v>182</v>
      </c>
      <c r="C61" s="19">
        <v>5</v>
      </c>
      <c r="D61" s="24">
        <v>0</v>
      </c>
      <c r="E61" s="16">
        <f t="shared" si="1"/>
        <v>22000</v>
      </c>
      <c r="F61" s="128"/>
      <c r="G61" s="129"/>
      <c r="H61" s="212"/>
      <c r="I61" s="2"/>
    </row>
    <row r="62" spans="2:9" ht="13.5" thickBot="1">
      <c r="B62" t="s">
        <v>183</v>
      </c>
      <c r="C62" s="20">
        <v>6</v>
      </c>
      <c r="D62" s="25">
        <v>0</v>
      </c>
      <c r="E62" s="17">
        <f t="shared" si="1"/>
        <v>22000</v>
      </c>
      <c r="F62" s="130"/>
      <c r="G62" s="217"/>
      <c r="H62" s="236"/>
      <c r="I62" s="2"/>
    </row>
    <row r="63" spans="5:9" ht="14.25" thickBot="1" thickTop="1">
      <c r="E63" s="2"/>
      <c r="G63" t="s">
        <v>7</v>
      </c>
      <c r="I63" s="2"/>
    </row>
    <row r="64" spans="2:9" ht="14.25" thickBot="1" thickTop="1">
      <c r="B64" s="79" t="s">
        <v>66</v>
      </c>
      <c r="C64" s="121" t="s">
        <v>168</v>
      </c>
      <c r="D64" s="18" t="s">
        <v>7</v>
      </c>
      <c r="E64" s="131">
        <v>0</v>
      </c>
      <c r="F64" s="204">
        <v>0.1</v>
      </c>
      <c r="G64" s="201">
        <f>F64</f>
        <v>0.1</v>
      </c>
      <c r="H64" s="181" t="s">
        <v>169</v>
      </c>
      <c r="I64" s="2"/>
    </row>
    <row r="65" spans="2:10" ht="13.5" thickTop="1">
      <c r="B65" s="79"/>
      <c r="C65" s="122">
        <v>12</v>
      </c>
      <c r="D65" s="19" t="s">
        <v>5</v>
      </c>
      <c r="E65" s="124" t="s">
        <v>8</v>
      </c>
      <c r="F65" s="59" t="s">
        <v>16</v>
      </c>
      <c r="G65" s="202" t="s">
        <v>108</v>
      </c>
      <c r="H65" s="209" t="s">
        <v>165</v>
      </c>
      <c r="I65" s="207" t="e">
        <f>IRR(D67:D73)</f>
        <v>#NUM!</v>
      </c>
      <c r="J65" s="208" t="s">
        <v>191</v>
      </c>
    </row>
    <row r="66" spans="3:10" ht="13.5" thickBot="1">
      <c r="C66" s="123" t="s">
        <v>10</v>
      </c>
      <c r="D66" s="20" t="s">
        <v>6</v>
      </c>
      <c r="E66" s="125" t="s">
        <v>115</v>
      </c>
      <c r="F66" s="205" t="s">
        <v>17</v>
      </c>
      <c r="G66" s="203" t="s">
        <v>17</v>
      </c>
      <c r="H66" s="210" t="s">
        <v>166</v>
      </c>
      <c r="I66" s="2" t="s">
        <v>110</v>
      </c>
      <c r="J66" s="208" t="s">
        <v>192</v>
      </c>
    </row>
    <row r="67" spans="3:10" ht="13.5" thickTop="1">
      <c r="C67" s="18">
        <v>0</v>
      </c>
      <c r="D67" s="23">
        <v>22000</v>
      </c>
      <c r="E67" s="15">
        <f>D67</f>
        <v>22000</v>
      </c>
      <c r="F67" s="215"/>
      <c r="G67" s="120"/>
      <c r="H67" s="235"/>
      <c r="I67" s="2" t="s">
        <v>110</v>
      </c>
      <c r="J67" s="208" t="s">
        <v>193</v>
      </c>
    </row>
    <row r="68" spans="2:10" ht="12.75">
      <c r="B68" t="s">
        <v>184</v>
      </c>
      <c r="C68" s="19">
        <v>1</v>
      </c>
      <c r="D68" s="24">
        <v>22000</v>
      </c>
      <c r="E68" s="16">
        <f aca="true" t="shared" si="2" ref="E68:E73">E67+D68</f>
        <v>44000</v>
      </c>
      <c r="F68" s="128"/>
      <c r="G68" s="129"/>
      <c r="H68" s="234"/>
      <c r="I68" s="2" t="s">
        <v>110</v>
      </c>
      <c r="J68" s="208" t="s">
        <v>194</v>
      </c>
    </row>
    <row r="69" spans="2:10" ht="12.75">
      <c r="B69" t="s">
        <v>185</v>
      </c>
      <c r="C69" s="19">
        <v>2</v>
      </c>
      <c r="D69" s="24">
        <v>0</v>
      </c>
      <c r="E69" s="16">
        <f t="shared" si="2"/>
        <v>44000</v>
      </c>
      <c r="F69" s="128"/>
      <c r="G69" s="129"/>
      <c r="H69" s="234"/>
      <c r="I69" s="215" t="s">
        <v>7</v>
      </c>
      <c r="J69" s="181" t="s">
        <v>195</v>
      </c>
    </row>
    <row r="70" spans="2:10" ht="12.75">
      <c r="B70" t="s">
        <v>186</v>
      </c>
      <c r="C70" s="19">
        <v>3</v>
      </c>
      <c r="D70" s="24">
        <v>22000</v>
      </c>
      <c r="E70" s="16">
        <f t="shared" si="2"/>
        <v>66000</v>
      </c>
      <c r="F70" s="128"/>
      <c r="G70" s="129"/>
      <c r="H70" s="212"/>
      <c r="I70" s="218" t="s">
        <v>7</v>
      </c>
      <c r="J70" s="198" t="s">
        <v>196</v>
      </c>
    </row>
    <row r="71" spans="2:10" ht="12.75">
      <c r="B71" t="s">
        <v>187</v>
      </c>
      <c r="C71" s="19">
        <v>4</v>
      </c>
      <c r="D71" s="24">
        <v>0</v>
      </c>
      <c r="E71" s="16">
        <f t="shared" si="2"/>
        <v>66000</v>
      </c>
      <c r="F71" s="128"/>
      <c r="G71" s="129"/>
      <c r="H71" s="212"/>
      <c r="I71" s="2" t="s">
        <v>110</v>
      </c>
      <c r="J71" s="208" t="s">
        <v>197</v>
      </c>
    </row>
    <row r="72" spans="2:10" ht="12.75">
      <c r="B72" t="s">
        <v>188</v>
      </c>
      <c r="C72" s="19">
        <v>5</v>
      </c>
      <c r="D72" s="24">
        <v>0</v>
      </c>
      <c r="E72" s="16">
        <f t="shared" si="2"/>
        <v>66000</v>
      </c>
      <c r="F72" s="128"/>
      <c r="G72" s="129"/>
      <c r="H72" s="212"/>
      <c r="I72" s="2" t="s">
        <v>110</v>
      </c>
      <c r="J72" s="1" t="s">
        <v>122</v>
      </c>
    </row>
    <row r="73" spans="2:9" ht="13.5" thickBot="1">
      <c r="B73" t="s">
        <v>189</v>
      </c>
      <c r="C73" s="20">
        <v>6</v>
      </c>
      <c r="D73" s="25">
        <v>0</v>
      </c>
      <c r="E73" s="17">
        <f t="shared" si="2"/>
        <v>66000</v>
      </c>
      <c r="F73" s="130" t="s">
        <v>7</v>
      </c>
      <c r="G73" s="217" t="s">
        <v>7</v>
      </c>
      <c r="H73" s="236" t="s">
        <v>7</v>
      </c>
      <c r="I73" s="2"/>
    </row>
    <row r="74" spans="5:9" ht="14.25" thickBot="1" thickTop="1">
      <c r="E74" s="2"/>
      <c r="I74" s="2"/>
    </row>
    <row r="75" spans="2:9" ht="13.5" thickTop="1">
      <c r="B75" s="79" t="s">
        <v>67</v>
      </c>
      <c r="C75" s="121" t="s">
        <v>168</v>
      </c>
      <c r="D75" s="18" t="s">
        <v>7</v>
      </c>
      <c r="E75" s="131">
        <v>0</v>
      </c>
      <c r="F75" s="175">
        <v>0.1</v>
      </c>
      <c r="G75" s="201">
        <f>F75</f>
        <v>0.1</v>
      </c>
      <c r="H75" s="85" t="s">
        <v>7</v>
      </c>
      <c r="I75" s="2"/>
    </row>
    <row r="76" spans="2:10" ht="12.75">
      <c r="B76" s="79"/>
      <c r="C76" s="122">
        <v>1</v>
      </c>
      <c r="D76" s="19" t="s">
        <v>5</v>
      </c>
      <c r="E76" s="124" t="s">
        <v>8</v>
      </c>
      <c r="F76" s="144" t="s">
        <v>201</v>
      </c>
      <c r="G76" s="202" t="s">
        <v>108</v>
      </c>
      <c r="H76" s="232" t="s">
        <v>208</v>
      </c>
      <c r="I76" s="219" t="s">
        <v>7</v>
      </c>
      <c r="J76" s="208" t="s">
        <v>191</v>
      </c>
    </row>
    <row r="77" spans="3:10" ht="13.5" thickBot="1">
      <c r="C77" s="123" t="s">
        <v>118</v>
      </c>
      <c r="D77" s="20" t="s">
        <v>6</v>
      </c>
      <c r="E77" s="125" t="s">
        <v>115</v>
      </c>
      <c r="F77" s="145" t="s">
        <v>34</v>
      </c>
      <c r="G77" s="203" t="s">
        <v>17</v>
      </c>
      <c r="I77" s="2" t="s">
        <v>110</v>
      </c>
      <c r="J77" s="208" t="s">
        <v>192</v>
      </c>
    </row>
    <row r="78" spans="3:13" ht="13.5" thickTop="1">
      <c r="C78" s="18">
        <v>0</v>
      </c>
      <c r="D78" s="23">
        <v>-40000</v>
      </c>
      <c r="E78" s="15">
        <f>D78</f>
        <v>-40000</v>
      </c>
      <c r="F78" s="141" t="s">
        <v>7</v>
      </c>
      <c r="G78" s="120"/>
      <c r="I78" s="2" t="s">
        <v>110</v>
      </c>
      <c r="J78" s="208" t="s">
        <v>193</v>
      </c>
      <c r="L78" s="136" t="str">
        <f>F78</f>
        <v> </v>
      </c>
      <c r="M78" s="40" t="s">
        <v>120</v>
      </c>
    </row>
    <row r="79" spans="2:13" ht="12.75">
      <c r="B79" s="2" t="s">
        <v>172</v>
      </c>
      <c r="C79" s="19">
        <v>1</v>
      </c>
      <c r="D79" s="24">
        <v>22000</v>
      </c>
      <c r="E79" s="16">
        <f aca="true" t="shared" si="3" ref="E79:E84">E78+D79</f>
        <v>-18000</v>
      </c>
      <c r="F79" s="132"/>
      <c r="G79" s="129"/>
      <c r="I79" s="2" t="s">
        <v>110</v>
      </c>
      <c r="J79" s="208" t="s">
        <v>194</v>
      </c>
      <c r="L79" s="135" t="e">
        <f>ABS(($F$78-$D$78)/$D$78)</f>
        <v>#VALUE!</v>
      </c>
      <c r="M79" s="40" t="s">
        <v>122</v>
      </c>
    </row>
    <row r="80" spans="2:10" ht="12.75">
      <c r="B80" s="2" t="s">
        <v>173</v>
      </c>
      <c r="C80" s="19">
        <v>2</v>
      </c>
      <c r="D80" s="24">
        <v>0</v>
      </c>
      <c r="E80" s="16">
        <f t="shared" si="3"/>
        <v>-18000</v>
      </c>
      <c r="F80" s="132"/>
      <c r="G80" s="129"/>
      <c r="I80" s="215" t="s">
        <v>7</v>
      </c>
      <c r="J80" s="181" t="s">
        <v>195</v>
      </c>
    </row>
    <row r="81" spans="2:13" ht="12.75">
      <c r="B81" s="2" t="s">
        <v>174</v>
      </c>
      <c r="C81" s="19">
        <v>3</v>
      </c>
      <c r="D81" s="24">
        <v>22000</v>
      </c>
      <c r="E81" s="16">
        <f t="shared" si="3"/>
        <v>4000</v>
      </c>
      <c r="F81" s="132"/>
      <c r="G81" s="129"/>
      <c r="I81" s="218" t="s">
        <v>7</v>
      </c>
      <c r="J81" s="198" t="s">
        <v>196</v>
      </c>
      <c r="L81" s="134">
        <f>$C$81-($E$81/$D$81)</f>
        <v>2.8181818181818183</v>
      </c>
      <c r="M81" s="40" t="s">
        <v>121</v>
      </c>
    </row>
    <row r="82" spans="2:10" ht="12.75">
      <c r="B82" s="2" t="s">
        <v>175</v>
      </c>
      <c r="C82" s="19">
        <v>4</v>
      </c>
      <c r="D82" s="24">
        <v>0</v>
      </c>
      <c r="E82" s="16">
        <f t="shared" si="3"/>
        <v>4000</v>
      </c>
      <c r="F82" s="132"/>
      <c r="G82" s="129"/>
      <c r="I82" s="21" t="s">
        <v>7</v>
      </c>
      <c r="J82" s="208" t="s">
        <v>197</v>
      </c>
    </row>
    <row r="83" spans="2:10" ht="12.75">
      <c r="B83" s="2" t="s">
        <v>176</v>
      </c>
      <c r="C83" s="19">
        <v>5</v>
      </c>
      <c r="D83" s="24">
        <v>0</v>
      </c>
      <c r="E83" s="16">
        <f t="shared" si="3"/>
        <v>4000</v>
      </c>
      <c r="F83" s="132"/>
      <c r="G83" s="129"/>
      <c r="I83" s="21" t="s">
        <v>7</v>
      </c>
      <c r="J83" s="1" t="s">
        <v>122</v>
      </c>
    </row>
    <row r="84" spans="2:9" ht="13.5" thickBot="1">
      <c r="B84" s="2" t="s">
        <v>177</v>
      </c>
      <c r="C84" s="20">
        <v>6</v>
      </c>
      <c r="D84" s="25">
        <v>8000</v>
      </c>
      <c r="E84" s="17">
        <f t="shared" si="3"/>
        <v>12000</v>
      </c>
      <c r="F84" s="133"/>
      <c r="G84" s="217" t="s">
        <v>7</v>
      </c>
      <c r="I84" s="2"/>
    </row>
    <row r="85" ht="14.25" thickBot="1" thickTop="1">
      <c r="I85" s="2"/>
    </row>
    <row r="86" spans="2:9" ht="13.5" thickTop="1">
      <c r="B86" s="79" t="s">
        <v>111</v>
      </c>
      <c r="C86" s="121" t="s">
        <v>116</v>
      </c>
      <c r="D86" s="18" t="s">
        <v>7</v>
      </c>
      <c r="E86" s="131">
        <v>0</v>
      </c>
      <c r="F86" s="177">
        <v>0.1121781430941557</v>
      </c>
      <c r="G86" s="201">
        <f>F86</f>
        <v>0.1121781430941557</v>
      </c>
      <c r="H86" s="85" t="s">
        <v>198</v>
      </c>
      <c r="I86" s="2"/>
    </row>
    <row r="87" spans="2:10" ht="12.75">
      <c r="B87" s="79"/>
      <c r="C87" s="122">
        <v>1</v>
      </c>
      <c r="D87" s="19" t="s">
        <v>5</v>
      </c>
      <c r="E87" s="124" t="s">
        <v>8</v>
      </c>
      <c r="F87" s="144" t="s">
        <v>201</v>
      </c>
      <c r="G87" s="202" t="s">
        <v>108</v>
      </c>
      <c r="H87" s="232" t="s">
        <v>208</v>
      </c>
      <c r="I87" s="219" t="s">
        <v>7</v>
      </c>
      <c r="J87" s="208" t="s">
        <v>191</v>
      </c>
    </row>
    <row r="88" spans="3:10" ht="13.5" thickBot="1">
      <c r="C88" s="123" t="s">
        <v>118</v>
      </c>
      <c r="D88" s="20" t="s">
        <v>6</v>
      </c>
      <c r="E88" s="125" t="s">
        <v>115</v>
      </c>
      <c r="F88" s="145" t="s">
        <v>34</v>
      </c>
      <c r="G88" s="203" t="s">
        <v>17</v>
      </c>
      <c r="I88" s="2" t="s">
        <v>110</v>
      </c>
      <c r="J88" s="208" t="s">
        <v>192</v>
      </c>
    </row>
    <row r="89" spans="3:10" ht="13.5" thickTop="1">
      <c r="C89" s="18">
        <v>0</v>
      </c>
      <c r="D89" s="23">
        <v>-40000</v>
      </c>
      <c r="E89" s="15">
        <f>D89</f>
        <v>-40000</v>
      </c>
      <c r="F89" s="176" t="s">
        <v>7</v>
      </c>
      <c r="G89" s="120"/>
      <c r="H89" s="40"/>
      <c r="I89" s="2" t="s">
        <v>110</v>
      </c>
      <c r="J89" s="208" t="s">
        <v>193</v>
      </c>
    </row>
    <row r="90" spans="2:10" ht="12.75">
      <c r="B90" s="2" t="s">
        <v>172</v>
      </c>
      <c r="C90" s="19">
        <v>1</v>
      </c>
      <c r="D90" s="24">
        <v>22000</v>
      </c>
      <c r="E90" s="16">
        <f aca="true" t="shared" si="4" ref="E90:E95">E89+D90</f>
        <v>-18000</v>
      </c>
      <c r="F90" s="132"/>
      <c r="G90" s="129"/>
      <c r="H90" s="40"/>
      <c r="I90" s="2" t="s">
        <v>110</v>
      </c>
      <c r="J90" s="208" t="s">
        <v>194</v>
      </c>
    </row>
    <row r="91" spans="2:10" ht="12.75">
      <c r="B91" s="2" t="s">
        <v>173</v>
      </c>
      <c r="C91" s="19">
        <v>2</v>
      </c>
      <c r="D91" s="24">
        <v>0</v>
      </c>
      <c r="E91" s="16">
        <f t="shared" si="4"/>
        <v>-18000</v>
      </c>
      <c r="F91" s="132"/>
      <c r="G91" s="129"/>
      <c r="I91" s="213" t="s">
        <v>7</v>
      </c>
      <c r="J91" s="181" t="s">
        <v>195</v>
      </c>
    </row>
    <row r="92" spans="2:10" ht="12.75">
      <c r="B92" s="2" t="s">
        <v>174</v>
      </c>
      <c r="C92" s="19">
        <v>3</v>
      </c>
      <c r="D92" s="24">
        <v>22000</v>
      </c>
      <c r="E92" s="16">
        <f t="shared" si="4"/>
        <v>4000</v>
      </c>
      <c r="F92" s="132"/>
      <c r="G92" s="129"/>
      <c r="H92" s="40"/>
      <c r="I92" s="224" t="s">
        <v>7</v>
      </c>
      <c r="J92" s="198" t="s">
        <v>196</v>
      </c>
    </row>
    <row r="93" spans="2:10" ht="12.75">
      <c r="B93" s="2" t="s">
        <v>175</v>
      </c>
      <c r="C93" s="19">
        <v>4</v>
      </c>
      <c r="D93" s="24">
        <v>0</v>
      </c>
      <c r="E93" s="16">
        <f t="shared" si="4"/>
        <v>4000</v>
      </c>
      <c r="F93" s="132"/>
      <c r="G93" s="129"/>
      <c r="I93" s="21" t="s">
        <v>7</v>
      </c>
      <c r="J93" s="208" t="s">
        <v>197</v>
      </c>
    </row>
    <row r="94" spans="2:10" ht="12.75">
      <c r="B94" s="2" t="s">
        <v>176</v>
      </c>
      <c r="C94" s="19">
        <v>5</v>
      </c>
      <c r="D94" s="24">
        <v>0</v>
      </c>
      <c r="E94" s="16">
        <f t="shared" si="4"/>
        <v>4000</v>
      </c>
      <c r="F94" s="132"/>
      <c r="G94" s="129"/>
      <c r="I94" s="21" t="s">
        <v>7</v>
      </c>
      <c r="J94" s="1" t="s">
        <v>122</v>
      </c>
    </row>
    <row r="95" spans="2:9" ht="13.5" thickBot="1">
      <c r="B95" s="2" t="s">
        <v>177</v>
      </c>
      <c r="C95" s="20">
        <v>6</v>
      </c>
      <c r="D95" s="25">
        <v>8000</v>
      </c>
      <c r="E95" s="17">
        <f t="shared" si="4"/>
        <v>12000</v>
      </c>
      <c r="F95" s="133"/>
      <c r="G95" s="221" t="s">
        <v>7</v>
      </c>
      <c r="I95" s="2"/>
    </row>
    <row r="96" ht="14.25" thickBot="1" thickTop="1">
      <c r="I96" s="2"/>
    </row>
    <row r="97" spans="2:10" ht="13.5" thickTop="1">
      <c r="B97" s="79" t="s">
        <v>112</v>
      </c>
      <c r="C97" s="121" t="s">
        <v>116</v>
      </c>
      <c r="D97" s="18" t="s">
        <v>7</v>
      </c>
      <c r="E97" s="131">
        <v>0</v>
      </c>
      <c r="F97" s="179">
        <v>1.346137719454319</v>
      </c>
      <c r="G97" s="201">
        <f>F97</f>
        <v>1.346137719454319</v>
      </c>
      <c r="H97" s="232" t="s">
        <v>208</v>
      </c>
      <c r="I97" s="222" t="s">
        <v>7</v>
      </c>
      <c r="J97" s="198" t="s">
        <v>199</v>
      </c>
    </row>
    <row r="98" spans="2:10" ht="12.75">
      <c r="B98" s="79"/>
      <c r="C98" s="122">
        <v>12</v>
      </c>
      <c r="D98" s="19" t="s">
        <v>5</v>
      </c>
      <c r="E98" s="124" t="s">
        <v>8</v>
      </c>
      <c r="F98" s="139" t="s">
        <v>201</v>
      </c>
      <c r="G98" s="202" t="s">
        <v>108</v>
      </c>
      <c r="I98" s="219" t="s">
        <v>7</v>
      </c>
      <c r="J98" s="208" t="s">
        <v>200</v>
      </c>
    </row>
    <row r="99" spans="3:10" ht="13.5" thickBot="1">
      <c r="C99" s="123" t="s">
        <v>10</v>
      </c>
      <c r="D99" s="20" t="s">
        <v>6</v>
      </c>
      <c r="E99" s="125" t="s">
        <v>115</v>
      </c>
      <c r="F99" s="140" t="s">
        <v>34</v>
      </c>
      <c r="G99" s="203" t="s">
        <v>17</v>
      </c>
      <c r="I99" s="2" t="s">
        <v>110</v>
      </c>
      <c r="J99" s="208" t="s">
        <v>192</v>
      </c>
    </row>
    <row r="100" spans="3:10" ht="13.5" thickTop="1">
      <c r="C100" s="18">
        <v>0</v>
      </c>
      <c r="D100" s="23">
        <v>-40000</v>
      </c>
      <c r="E100" s="15">
        <f>D100</f>
        <v>-40000</v>
      </c>
      <c r="F100" s="178" t="s">
        <v>7</v>
      </c>
      <c r="G100" s="120"/>
      <c r="H100" s="40"/>
      <c r="I100" s="2" t="s">
        <v>110</v>
      </c>
      <c r="J100" s="208" t="s">
        <v>193</v>
      </c>
    </row>
    <row r="101" spans="2:10" ht="12.75">
      <c r="B101" t="s">
        <v>184</v>
      </c>
      <c r="C101" s="19">
        <v>1</v>
      </c>
      <c r="D101" s="24">
        <v>22000</v>
      </c>
      <c r="E101" s="16">
        <f aca="true" t="shared" si="5" ref="E101:E106">E100+D101</f>
        <v>-18000</v>
      </c>
      <c r="F101" s="132"/>
      <c r="G101" s="129"/>
      <c r="H101" s="40"/>
      <c r="I101" s="2" t="s">
        <v>110</v>
      </c>
      <c r="J101" s="208" t="s">
        <v>194</v>
      </c>
    </row>
    <row r="102" spans="2:10" ht="12.75">
      <c r="B102" t="s">
        <v>185</v>
      </c>
      <c r="C102" s="19">
        <v>2</v>
      </c>
      <c r="D102" s="24">
        <v>0</v>
      </c>
      <c r="E102" s="16">
        <f t="shared" si="5"/>
        <v>-18000</v>
      </c>
      <c r="F102" s="132"/>
      <c r="G102" s="129"/>
      <c r="I102" s="213" t="s">
        <v>7</v>
      </c>
      <c r="J102" s="181" t="s">
        <v>195</v>
      </c>
    </row>
    <row r="103" spans="2:10" ht="12.75">
      <c r="B103" t="s">
        <v>186</v>
      </c>
      <c r="C103" s="19">
        <v>3</v>
      </c>
      <c r="D103" s="24">
        <v>22000</v>
      </c>
      <c r="E103" s="16">
        <f t="shared" si="5"/>
        <v>4000</v>
      </c>
      <c r="F103" s="132"/>
      <c r="G103" s="129"/>
      <c r="H103" s="40"/>
      <c r="I103" s="224" t="s">
        <v>7</v>
      </c>
      <c r="J103" s="198" t="s">
        <v>196</v>
      </c>
    </row>
    <row r="104" spans="2:10" ht="12.75">
      <c r="B104" t="s">
        <v>187</v>
      </c>
      <c r="C104" s="19">
        <v>4</v>
      </c>
      <c r="D104" s="24">
        <v>0</v>
      </c>
      <c r="E104" s="16">
        <f t="shared" si="5"/>
        <v>4000</v>
      </c>
      <c r="F104" s="132"/>
      <c r="G104" s="129"/>
      <c r="I104" s="21" t="s">
        <v>7</v>
      </c>
      <c r="J104" s="208" t="s">
        <v>197</v>
      </c>
    </row>
    <row r="105" spans="2:10" ht="12.75">
      <c r="B105" t="s">
        <v>188</v>
      </c>
      <c r="C105" s="19">
        <v>5</v>
      </c>
      <c r="D105" s="24">
        <v>0</v>
      </c>
      <c r="E105" s="16">
        <f t="shared" si="5"/>
        <v>4000</v>
      </c>
      <c r="F105" s="132"/>
      <c r="G105" s="129"/>
      <c r="I105" s="21" t="s">
        <v>7</v>
      </c>
      <c r="J105" s="1" t="s">
        <v>122</v>
      </c>
    </row>
    <row r="106" spans="2:9" ht="13.5" thickBot="1">
      <c r="B106" t="s">
        <v>189</v>
      </c>
      <c r="C106" s="20">
        <v>6</v>
      </c>
      <c r="D106" s="25">
        <v>8000</v>
      </c>
      <c r="E106" s="17">
        <f t="shared" si="5"/>
        <v>12000</v>
      </c>
      <c r="F106" s="133"/>
      <c r="G106" s="221" t="s">
        <v>7</v>
      </c>
      <c r="I106" s="2"/>
    </row>
    <row r="107" ht="14.25" thickBot="1" thickTop="1">
      <c r="I107" s="2"/>
    </row>
    <row r="108" spans="2:10" ht="13.5" thickTop="1">
      <c r="B108" s="79" t="s">
        <v>113</v>
      </c>
      <c r="C108" s="121" t="s">
        <v>168</v>
      </c>
      <c r="D108" s="18" t="s">
        <v>7</v>
      </c>
      <c r="E108" s="131">
        <v>0</v>
      </c>
      <c r="F108" s="180">
        <v>0.1</v>
      </c>
      <c r="G108" s="201">
        <f>F108</f>
        <v>0.1</v>
      </c>
      <c r="H108" s="232" t="s">
        <v>208</v>
      </c>
      <c r="I108" s="222" t="s">
        <v>7</v>
      </c>
      <c r="J108" s="198" t="s">
        <v>199</v>
      </c>
    </row>
    <row r="109" spans="2:10" ht="12.75">
      <c r="B109" s="79"/>
      <c r="C109" s="122">
        <v>1</v>
      </c>
      <c r="D109" s="19" t="s">
        <v>5</v>
      </c>
      <c r="E109" s="124" t="s">
        <v>8</v>
      </c>
      <c r="F109" s="144" t="s">
        <v>201</v>
      </c>
      <c r="G109" s="202" t="s">
        <v>108</v>
      </c>
      <c r="I109" s="219" t="s">
        <v>7</v>
      </c>
      <c r="J109" s="208" t="s">
        <v>200</v>
      </c>
    </row>
    <row r="110" spans="3:10" ht="13.5" thickBot="1">
      <c r="C110" s="123" t="s">
        <v>118</v>
      </c>
      <c r="D110" s="20" t="s">
        <v>6</v>
      </c>
      <c r="E110" s="125" t="s">
        <v>115</v>
      </c>
      <c r="F110" s="145" t="s">
        <v>34</v>
      </c>
      <c r="G110" s="203" t="s">
        <v>17</v>
      </c>
      <c r="I110" s="27" t="s">
        <v>7</v>
      </c>
      <c r="J110" s="208" t="s">
        <v>192</v>
      </c>
    </row>
    <row r="111" spans="3:10" ht="13.5" thickTop="1">
      <c r="C111" s="18">
        <v>0</v>
      </c>
      <c r="D111" s="23">
        <v>-52000</v>
      </c>
      <c r="E111" s="15">
        <f>D111</f>
        <v>-52000</v>
      </c>
      <c r="F111" s="223" t="s">
        <v>7</v>
      </c>
      <c r="G111" s="120"/>
      <c r="I111" s="216" t="s">
        <v>7</v>
      </c>
      <c r="J111" s="208" t="s">
        <v>193</v>
      </c>
    </row>
    <row r="112" spans="2:10" ht="12.75">
      <c r="B112" s="2" t="s">
        <v>172</v>
      </c>
      <c r="C112" s="19">
        <v>1</v>
      </c>
      <c r="D112" s="24">
        <v>9000</v>
      </c>
      <c r="E112" s="16">
        <f aca="true" t="shared" si="6" ref="E112:E117">E111+D112</f>
        <v>-43000</v>
      </c>
      <c r="F112" s="132"/>
      <c r="G112" s="129"/>
      <c r="I112" s="216" t="s">
        <v>7</v>
      </c>
      <c r="J112" s="208" t="s">
        <v>194</v>
      </c>
    </row>
    <row r="113" spans="2:10" ht="12.75">
      <c r="B113" s="2" t="s">
        <v>173</v>
      </c>
      <c r="C113" s="19">
        <v>2</v>
      </c>
      <c r="D113" s="24">
        <v>9000</v>
      </c>
      <c r="E113" s="16">
        <f t="shared" si="6"/>
        <v>-34000</v>
      </c>
      <c r="F113" s="132"/>
      <c r="G113" s="129"/>
      <c r="I113" s="215" t="s">
        <v>7</v>
      </c>
      <c r="J113" s="181" t="s">
        <v>195</v>
      </c>
    </row>
    <row r="114" spans="2:10" ht="12.75">
      <c r="B114" s="2" t="s">
        <v>174</v>
      </c>
      <c r="C114" s="19">
        <v>3</v>
      </c>
      <c r="D114" s="24">
        <v>9000</v>
      </c>
      <c r="E114" s="16">
        <f t="shared" si="6"/>
        <v>-25000</v>
      </c>
      <c r="F114" s="132"/>
      <c r="G114" s="129"/>
      <c r="I114" s="218" t="s">
        <v>7</v>
      </c>
      <c r="J114" s="198" t="s">
        <v>196</v>
      </c>
    </row>
    <row r="115" spans="2:10" ht="12.75">
      <c r="B115" s="2" t="s">
        <v>175</v>
      </c>
      <c r="C115" s="19">
        <v>4</v>
      </c>
      <c r="D115" s="24">
        <v>9000</v>
      </c>
      <c r="E115" s="16">
        <f t="shared" si="6"/>
        <v>-16000</v>
      </c>
      <c r="F115" s="132"/>
      <c r="G115" s="129"/>
      <c r="I115" s="21" t="s">
        <v>7</v>
      </c>
      <c r="J115" s="208" t="s">
        <v>197</v>
      </c>
    </row>
    <row r="116" spans="2:10" ht="12.75">
      <c r="B116" s="2" t="s">
        <v>176</v>
      </c>
      <c r="C116" s="19">
        <v>5</v>
      </c>
      <c r="D116" s="24">
        <v>9000</v>
      </c>
      <c r="E116" s="16">
        <f t="shared" si="6"/>
        <v>-7000</v>
      </c>
      <c r="F116" s="132"/>
      <c r="G116" s="129"/>
      <c r="I116" s="21" t="s">
        <v>7</v>
      </c>
      <c r="J116" s="1" t="s">
        <v>122</v>
      </c>
    </row>
    <row r="117" spans="2:7" ht="13.5" thickBot="1">
      <c r="B117" s="2" t="s">
        <v>177</v>
      </c>
      <c r="C117" s="20">
        <v>6</v>
      </c>
      <c r="D117" s="25">
        <v>35000</v>
      </c>
      <c r="E117" s="17">
        <f t="shared" si="6"/>
        <v>28000</v>
      </c>
      <c r="F117" s="133"/>
      <c r="G117" s="217" t="s">
        <v>7</v>
      </c>
    </row>
    <row r="118" ht="14.25" thickBot="1" thickTop="1"/>
    <row r="119" spans="2:10" ht="13.5" thickTop="1">
      <c r="B119" s="79" t="s">
        <v>114</v>
      </c>
      <c r="C119" s="121" t="s">
        <v>168</v>
      </c>
      <c r="D119" s="18" t="s">
        <v>7</v>
      </c>
      <c r="E119" s="131">
        <v>0</v>
      </c>
      <c r="F119" s="180">
        <v>0.1098674971122432</v>
      </c>
      <c r="G119" s="201">
        <f>F119</f>
        <v>0.1098674971122432</v>
      </c>
      <c r="H119" s="232" t="s">
        <v>208</v>
      </c>
      <c r="I119" s="222"/>
      <c r="J119" s="198" t="s">
        <v>199</v>
      </c>
    </row>
    <row r="120" spans="2:10" ht="12.75">
      <c r="B120" s="79"/>
      <c r="C120" s="122">
        <v>1</v>
      </c>
      <c r="D120" s="19" t="s">
        <v>5</v>
      </c>
      <c r="E120" s="124" t="s">
        <v>8</v>
      </c>
      <c r="F120" s="144" t="s">
        <v>201</v>
      </c>
      <c r="G120" s="202" t="s">
        <v>108</v>
      </c>
      <c r="I120" s="219"/>
      <c r="J120" s="208" t="s">
        <v>200</v>
      </c>
    </row>
    <row r="121" spans="3:10" ht="13.5" thickBot="1">
      <c r="C121" s="123" t="s">
        <v>118</v>
      </c>
      <c r="D121" s="20" t="s">
        <v>6</v>
      </c>
      <c r="E121" s="125" t="s">
        <v>115</v>
      </c>
      <c r="F121" s="145" t="s">
        <v>34</v>
      </c>
      <c r="G121" s="203" t="s">
        <v>17</v>
      </c>
      <c r="I121" s="27"/>
      <c r="J121" s="208" t="s">
        <v>192</v>
      </c>
    </row>
    <row r="122" spans="3:10" ht="13.5" thickTop="1">
      <c r="C122" s="18">
        <v>0</v>
      </c>
      <c r="D122" s="23">
        <v>-52000</v>
      </c>
      <c r="E122" s="15">
        <f>D122</f>
        <v>-52000</v>
      </c>
      <c r="F122" s="178" t="s">
        <v>7</v>
      </c>
      <c r="G122" s="120"/>
      <c r="I122" s="216"/>
      <c r="J122" s="208" t="s">
        <v>193</v>
      </c>
    </row>
    <row r="123" spans="2:10" ht="12.75">
      <c r="B123" s="2" t="s">
        <v>172</v>
      </c>
      <c r="C123" s="19">
        <v>1</v>
      </c>
      <c r="D123" s="24">
        <v>9000</v>
      </c>
      <c r="E123" s="16">
        <f aca="true" t="shared" si="7" ref="E123:E128">E122+D123</f>
        <v>-43000</v>
      </c>
      <c r="F123" s="132"/>
      <c r="G123" s="129"/>
      <c r="I123" s="214"/>
      <c r="J123" s="208" t="s">
        <v>194</v>
      </c>
    </row>
    <row r="124" spans="2:10" ht="12.75">
      <c r="B124" s="2" t="s">
        <v>173</v>
      </c>
      <c r="C124" s="19">
        <v>2</v>
      </c>
      <c r="D124" s="24">
        <v>9000</v>
      </c>
      <c r="E124" s="16">
        <f t="shared" si="7"/>
        <v>-34000</v>
      </c>
      <c r="F124" s="132"/>
      <c r="G124" s="129"/>
      <c r="I124" s="213"/>
      <c r="J124" s="181" t="s">
        <v>195</v>
      </c>
    </row>
    <row r="125" spans="2:10" ht="12.75">
      <c r="B125" s="2" t="s">
        <v>174</v>
      </c>
      <c r="C125" s="19">
        <v>3</v>
      </c>
      <c r="D125" s="24">
        <v>9000</v>
      </c>
      <c r="E125" s="16">
        <f t="shared" si="7"/>
        <v>-25000</v>
      </c>
      <c r="F125" s="132"/>
      <c r="G125" s="129"/>
      <c r="I125" s="224"/>
      <c r="J125" s="198" t="s">
        <v>196</v>
      </c>
    </row>
    <row r="126" spans="2:10" ht="12.75">
      <c r="B126" s="2" t="s">
        <v>175</v>
      </c>
      <c r="C126" s="19">
        <v>4</v>
      </c>
      <c r="D126" s="24">
        <v>9000</v>
      </c>
      <c r="E126" s="16">
        <f t="shared" si="7"/>
        <v>-16000</v>
      </c>
      <c r="F126" s="132"/>
      <c r="G126" s="129"/>
      <c r="I126" s="21"/>
      <c r="J126" s="208" t="s">
        <v>197</v>
      </c>
    </row>
    <row r="127" spans="2:10" ht="12.75">
      <c r="B127" s="2" t="s">
        <v>176</v>
      </c>
      <c r="C127" s="19">
        <v>5</v>
      </c>
      <c r="D127" s="24">
        <v>9000</v>
      </c>
      <c r="E127" s="16">
        <f t="shared" si="7"/>
        <v>-7000</v>
      </c>
      <c r="F127" s="132"/>
      <c r="G127" s="129"/>
      <c r="I127" s="220"/>
      <c r="J127" s="1" t="s">
        <v>122</v>
      </c>
    </row>
    <row r="128" spans="2:7" ht="13.5" thickBot="1">
      <c r="B128" s="2" t="s">
        <v>177</v>
      </c>
      <c r="C128" s="20">
        <v>6</v>
      </c>
      <c r="D128" s="25">
        <v>35000</v>
      </c>
      <c r="E128" s="17">
        <f t="shared" si="7"/>
        <v>28000</v>
      </c>
      <c r="F128" s="133"/>
      <c r="G128" s="221" t="s">
        <v>7</v>
      </c>
    </row>
    <row r="129" ht="14.25" thickBot="1" thickTop="1"/>
    <row r="130" spans="2:10" ht="13.5" thickTop="1">
      <c r="B130" s="79" t="s">
        <v>119</v>
      </c>
      <c r="C130" s="121" t="s">
        <v>168</v>
      </c>
      <c r="D130" s="18" t="s">
        <v>7</v>
      </c>
      <c r="E130" s="131">
        <v>0</v>
      </c>
      <c r="F130" s="180">
        <v>0.1</v>
      </c>
      <c r="G130" s="201">
        <f>F130</f>
        <v>0.1</v>
      </c>
      <c r="H130" s="232" t="s">
        <v>208</v>
      </c>
      <c r="I130" s="222"/>
      <c r="J130" s="198" t="s">
        <v>199</v>
      </c>
    </row>
    <row r="131" spans="2:10" ht="12.75">
      <c r="B131" s="79"/>
      <c r="C131" s="122">
        <v>12</v>
      </c>
      <c r="D131" s="19" t="s">
        <v>5</v>
      </c>
      <c r="E131" s="124" t="s">
        <v>8</v>
      </c>
      <c r="F131" s="144" t="s">
        <v>201</v>
      </c>
      <c r="G131" s="202" t="s">
        <v>108</v>
      </c>
      <c r="I131" s="219"/>
      <c r="J131" s="208" t="s">
        <v>200</v>
      </c>
    </row>
    <row r="132" spans="3:10" ht="13.5" thickBot="1">
      <c r="C132" s="123" t="s">
        <v>10</v>
      </c>
      <c r="D132" s="20" t="s">
        <v>6</v>
      </c>
      <c r="E132" s="125" t="s">
        <v>115</v>
      </c>
      <c r="F132" s="145" t="s">
        <v>34</v>
      </c>
      <c r="G132" s="203" t="s">
        <v>17</v>
      </c>
      <c r="I132" s="27"/>
      <c r="J132" s="208" t="s">
        <v>192</v>
      </c>
    </row>
    <row r="133" spans="3:10" ht="13.5" thickTop="1">
      <c r="C133" s="18">
        <v>0</v>
      </c>
      <c r="D133" s="23">
        <v>-52000</v>
      </c>
      <c r="E133" s="15">
        <f>D133</f>
        <v>-52000</v>
      </c>
      <c r="F133" s="223" t="s">
        <v>7</v>
      </c>
      <c r="G133" s="120"/>
      <c r="I133" s="216"/>
      <c r="J133" s="208" t="s">
        <v>193</v>
      </c>
    </row>
    <row r="134" spans="2:10" ht="12.75">
      <c r="B134" t="s">
        <v>184</v>
      </c>
      <c r="C134" s="19">
        <v>1</v>
      </c>
      <c r="D134" s="24">
        <v>9000</v>
      </c>
      <c r="E134" s="16">
        <f aca="true" t="shared" si="8" ref="E134:E139">E133+D134</f>
        <v>-43000</v>
      </c>
      <c r="F134" s="132"/>
      <c r="G134" s="129"/>
      <c r="I134" s="214"/>
      <c r="J134" s="208" t="s">
        <v>194</v>
      </c>
    </row>
    <row r="135" spans="2:10" ht="12.75">
      <c r="B135" t="s">
        <v>185</v>
      </c>
      <c r="C135" s="19">
        <v>2</v>
      </c>
      <c r="D135" s="24">
        <v>9000</v>
      </c>
      <c r="E135" s="16">
        <f t="shared" si="8"/>
        <v>-34000</v>
      </c>
      <c r="F135" s="132"/>
      <c r="G135" s="129"/>
      <c r="I135" s="215"/>
      <c r="J135" s="181" t="s">
        <v>195</v>
      </c>
    </row>
    <row r="136" spans="2:10" ht="12.75">
      <c r="B136" t="s">
        <v>186</v>
      </c>
      <c r="C136" s="19">
        <v>3</v>
      </c>
      <c r="D136" s="24">
        <v>9000</v>
      </c>
      <c r="E136" s="16">
        <f t="shared" si="8"/>
        <v>-25000</v>
      </c>
      <c r="F136" s="132"/>
      <c r="G136" s="129"/>
      <c r="I136" s="218"/>
      <c r="J136" s="198" t="s">
        <v>196</v>
      </c>
    </row>
    <row r="137" spans="2:10" ht="12.75">
      <c r="B137" t="s">
        <v>187</v>
      </c>
      <c r="C137" s="19">
        <v>4</v>
      </c>
      <c r="D137" s="24">
        <v>9000</v>
      </c>
      <c r="E137" s="16">
        <f t="shared" si="8"/>
        <v>-16000</v>
      </c>
      <c r="F137" s="132"/>
      <c r="G137" s="129"/>
      <c r="I137" s="21"/>
      <c r="J137" s="208" t="s">
        <v>197</v>
      </c>
    </row>
    <row r="138" spans="2:10" ht="12.75">
      <c r="B138" t="s">
        <v>188</v>
      </c>
      <c r="C138" s="19">
        <v>5</v>
      </c>
      <c r="D138" s="24">
        <v>9000</v>
      </c>
      <c r="E138" s="16">
        <f t="shared" si="8"/>
        <v>-7000</v>
      </c>
      <c r="F138" s="132"/>
      <c r="G138" s="129"/>
      <c r="I138" s="220"/>
      <c r="J138" s="1" t="s">
        <v>122</v>
      </c>
    </row>
    <row r="139" spans="2:7" ht="13.5" thickBot="1">
      <c r="B139" t="s">
        <v>189</v>
      </c>
      <c r="C139" s="20">
        <v>6</v>
      </c>
      <c r="D139" s="25">
        <v>9000</v>
      </c>
      <c r="E139" s="17">
        <f t="shared" si="8"/>
        <v>2000</v>
      </c>
      <c r="F139" s="133"/>
      <c r="G139" s="217" t="s">
        <v>7</v>
      </c>
    </row>
    <row r="140" ht="13.5" thickTop="1"/>
    <row r="141" ht="13.5" thickBot="1"/>
    <row r="142" spans="2:7" ht="13.5" thickTop="1">
      <c r="B142" s="79" t="s">
        <v>123</v>
      </c>
      <c r="C142" s="121" t="s">
        <v>116</v>
      </c>
      <c r="D142" s="127">
        <f>RATE(C151,D146,D145,0)</f>
        <v>0.0816378226672685</v>
      </c>
      <c r="E142" s="183">
        <f>D$142</f>
        <v>0.0816378226672685</v>
      </c>
      <c r="F142" s="127">
        <f>E$142</f>
        <v>0.0816378226672685</v>
      </c>
      <c r="G142" s="127">
        <f>F$142</f>
        <v>0.0816378226672685</v>
      </c>
    </row>
    <row r="143" spans="2:7" ht="12.75">
      <c r="B143" s="79"/>
      <c r="C143" s="122">
        <v>1</v>
      </c>
      <c r="D143" s="19" t="s">
        <v>5</v>
      </c>
      <c r="E143" s="184" t="s">
        <v>125</v>
      </c>
      <c r="F143" s="139" t="s">
        <v>127</v>
      </c>
      <c r="G143" s="144" t="s">
        <v>129</v>
      </c>
    </row>
    <row r="144" spans="3:7" ht="13.5" thickBot="1">
      <c r="C144" s="123" t="s">
        <v>118</v>
      </c>
      <c r="D144" s="20" t="s">
        <v>6</v>
      </c>
      <c r="E144" s="185" t="s">
        <v>126</v>
      </c>
      <c r="F144" s="140" t="s">
        <v>128</v>
      </c>
      <c r="G144" s="145" t="s">
        <v>132</v>
      </c>
    </row>
    <row r="145" spans="1:7" ht="13.5" thickTop="1">
      <c r="A145" s="41" t="s">
        <v>130</v>
      </c>
      <c r="C145" s="18">
        <v>0</v>
      </c>
      <c r="D145" s="237">
        <v>-46000</v>
      </c>
      <c r="E145" s="184" t="s">
        <v>125</v>
      </c>
      <c r="F145" s="139" t="s">
        <v>127</v>
      </c>
      <c r="G145" s="144" t="s">
        <v>129</v>
      </c>
    </row>
    <row r="146" spans="1:7" ht="13.5" thickBot="1">
      <c r="A146" s="146" t="s">
        <v>131</v>
      </c>
      <c r="B146" s="2" t="s">
        <v>172</v>
      </c>
      <c r="C146" s="19">
        <v>1</v>
      </c>
      <c r="D146" s="238">
        <v>10000</v>
      </c>
      <c r="E146" s="186"/>
      <c r="F146" s="137"/>
      <c r="G146" s="142"/>
    </row>
    <row r="147" spans="2:7" ht="13.5" thickTop="1">
      <c r="B147" s="2" t="s">
        <v>173</v>
      </c>
      <c r="C147" s="19">
        <v>2</v>
      </c>
      <c r="D147" s="24">
        <f>D$146</f>
        <v>10000</v>
      </c>
      <c r="E147" s="186"/>
      <c r="F147" s="137"/>
      <c r="G147" s="142"/>
    </row>
    <row r="148" spans="2:7" ht="12.75">
      <c r="B148" s="2" t="s">
        <v>174</v>
      </c>
      <c r="C148" s="19">
        <v>3</v>
      </c>
      <c r="D148" s="24">
        <f>D$146</f>
        <v>10000</v>
      </c>
      <c r="E148" s="186"/>
      <c r="F148" s="137"/>
      <c r="G148" s="142"/>
    </row>
    <row r="149" spans="2:7" ht="12.75">
      <c r="B149" s="2" t="s">
        <v>175</v>
      </c>
      <c r="C149" s="19">
        <v>4</v>
      </c>
      <c r="D149" s="24">
        <f>D$146</f>
        <v>10000</v>
      </c>
      <c r="E149" s="186"/>
      <c r="F149" s="137"/>
      <c r="G149" s="142"/>
    </row>
    <row r="150" spans="2:7" ht="12.75">
      <c r="B150" s="2" t="s">
        <v>176</v>
      </c>
      <c r="C150" s="19">
        <v>5</v>
      </c>
      <c r="D150" s="24">
        <f>D$146</f>
        <v>10000</v>
      </c>
      <c r="E150" s="186"/>
      <c r="F150" s="137"/>
      <c r="G150" s="142"/>
    </row>
    <row r="151" spans="2:7" ht="13.5" thickBot="1">
      <c r="B151" s="2" t="s">
        <v>177</v>
      </c>
      <c r="C151" s="20">
        <v>6</v>
      </c>
      <c r="D151" s="25">
        <f>D$146</f>
        <v>10000</v>
      </c>
      <c r="E151" s="187"/>
      <c r="F151" s="138"/>
      <c r="G151" s="143"/>
    </row>
    <row r="152" ht="13.5" thickTop="1"/>
    <row r="154" ht="12.75">
      <c r="B154" t="s">
        <v>7</v>
      </c>
    </row>
    <row r="157" spans="2:4" ht="12.75">
      <c r="B157" s="79" t="s">
        <v>124</v>
      </c>
      <c r="C157" s="108" t="s">
        <v>170</v>
      </c>
      <c r="D157" s="239">
        <v>-100000</v>
      </c>
    </row>
    <row r="158" spans="2:4" ht="12.75">
      <c r="B158" s="22" t="s">
        <v>7</v>
      </c>
      <c r="C158" s="108" t="s">
        <v>209</v>
      </c>
      <c r="D158" s="239">
        <v>-200000</v>
      </c>
    </row>
    <row r="159" spans="3:4" ht="13.5" thickBot="1">
      <c r="C159" s="233" t="s">
        <v>208</v>
      </c>
      <c r="D159" s="240">
        <v>0.12</v>
      </c>
    </row>
    <row r="160" spans="3:7" ht="13.5" thickTop="1">
      <c r="C160" s="108" t="s">
        <v>168</v>
      </c>
      <c r="D160" s="22" t="s">
        <v>10</v>
      </c>
      <c r="E160" s="188" t="s">
        <v>10</v>
      </c>
      <c r="F160" s="190" t="s">
        <v>127</v>
      </c>
      <c r="G160" s="191" t="s">
        <v>10</v>
      </c>
    </row>
    <row r="161" spans="3:7" ht="13.5" thickBot="1">
      <c r="C161" s="206" t="s">
        <v>171</v>
      </c>
      <c r="D161" s="22">
        <v>20</v>
      </c>
      <c r="E161" s="189" t="s">
        <v>125</v>
      </c>
      <c r="F161" s="192" t="s">
        <v>210</v>
      </c>
      <c r="G161" s="193" t="s">
        <v>129</v>
      </c>
    </row>
    <row r="162" spans="3:7" ht="14.25" thickBot="1" thickTop="1">
      <c r="C162" s="182" t="s">
        <v>145</v>
      </c>
      <c r="D162" s="22">
        <v>1</v>
      </c>
      <c r="E162" s="194"/>
      <c r="F162" s="195"/>
      <c r="G162" s="196"/>
    </row>
    <row r="163" spans="3:7" ht="14.25" thickBot="1" thickTop="1">
      <c r="C163" s="182" t="s">
        <v>145</v>
      </c>
      <c r="D163" s="22">
        <v>2</v>
      </c>
      <c r="E163" s="194"/>
      <c r="F163" s="195"/>
      <c r="G163" s="196"/>
    </row>
    <row r="164" spans="3:7" ht="14.25" thickBot="1" thickTop="1">
      <c r="C164" s="182" t="s">
        <v>145</v>
      </c>
      <c r="D164" s="22">
        <v>3</v>
      </c>
      <c r="E164" s="194"/>
      <c r="F164" s="195"/>
      <c r="G164" s="196"/>
    </row>
    <row r="165" spans="3:7" ht="14.25" thickBot="1" thickTop="1">
      <c r="C165" s="182" t="s">
        <v>145</v>
      </c>
      <c r="D165" s="22">
        <v>4</v>
      </c>
      <c r="E165" s="194"/>
      <c r="F165" s="195"/>
      <c r="G165" s="196"/>
    </row>
    <row r="166" spans="3:7" ht="14.25" thickBot="1" thickTop="1">
      <c r="C166" s="182" t="s">
        <v>145</v>
      </c>
      <c r="D166" s="22">
        <v>5</v>
      </c>
      <c r="E166" s="194"/>
      <c r="F166" s="195"/>
      <c r="G166" s="196"/>
    </row>
    <row r="167" spans="3:7" ht="14.25" thickBot="1" thickTop="1">
      <c r="C167" s="182" t="s">
        <v>145</v>
      </c>
      <c r="D167" s="22">
        <v>6</v>
      </c>
      <c r="E167" s="194"/>
      <c r="F167" s="195"/>
      <c r="G167" s="196"/>
    </row>
    <row r="168" spans="3:7" ht="14.25" thickBot="1" thickTop="1">
      <c r="C168" s="182" t="s">
        <v>145</v>
      </c>
      <c r="D168" s="22">
        <v>7</v>
      </c>
      <c r="E168" s="194"/>
      <c r="F168" s="195"/>
      <c r="G168" s="196"/>
    </row>
    <row r="169" spans="3:7" ht="14.25" thickBot="1" thickTop="1">
      <c r="C169" s="182" t="s">
        <v>145</v>
      </c>
      <c r="D169" s="22">
        <v>8</v>
      </c>
      <c r="E169" s="194"/>
      <c r="F169" s="195"/>
      <c r="G169" s="196"/>
    </row>
    <row r="170" spans="3:7" ht="14.25" thickBot="1" thickTop="1">
      <c r="C170" s="182" t="s">
        <v>145</v>
      </c>
      <c r="D170" s="22">
        <v>9</v>
      </c>
      <c r="E170" s="194"/>
      <c r="F170" s="195"/>
      <c r="G170" s="196"/>
    </row>
    <row r="171" spans="3:7" ht="14.25" thickBot="1" thickTop="1">
      <c r="C171" s="182" t="s">
        <v>145</v>
      </c>
      <c r="D171" s="22">
        <v>10</v>
      </c>
      <c r="E171" s="194"/>
      <c r="F171" s="195"/>
      <c r="G171" s="196"/>
    </row>
    <row r="172" spans="3:7" ht="14.25" thickBot="1" thickTop="1">
      <c r="C172" s="182" t="s">
        <v>145</v>
      </c>
      <c r="D172" s="22">
        <v>11</v>
      </c>
      <c r="E172" s="194"/>
      <c r="F172" s="195"/>
      <c r="G172" s="196"/>
    </row>
    <row r="173" spans="3:7" ht="14.25" thickBot="1" thickTop="1">
      <c r="C173" s="182" t="s">
        <v>145</v>
      </c>
      <c r="D173" s="22">
        <v>12</v>
      </c>
      <c r="E173" s="194"/>
      <c r="F173" s="195"/>
      <c r="G173" s="196"/>
    </row>
    <row r="174" spans="3:7" ht="14.25" thickBot="1" thickTop="1">
      <c r="C174" s="182" t="s">
        <v>145</v>
      </c>
      <c r="D174" s="22">
        <v>13</v>
      </c>
      <c r="E174" s="194"/>
      <c r="F174" s="195"/>
      <c r="G174" s="196"/>
    </row>
    <row r="175" spans="3:7" ht="14.25" thickBot="1" thickTop="1">
      <c r="C175" s="182" t="s">
        <v>145</v>
      </c>
      <c r="D175" s="22">
        <v>14</v>
      </c>
      <c r="E175" s="194"/>
      <c r="F175" s="195"/>
      <c r="G175" s="196"/>
    </row>
    <row r="176" spans="3:7" ht="14.25" thickBot="1" thickTop="1">
      <c r="C176" s="182" t="s">
        <v>145</v>
      </c>
      <c r="D176" s="22">
        <v>15</v>
      </c>
      <c r="E176" s="194"/>
      <c r="F176" s="195"/>
      <c r="G176" s="196"/>
    </row>
    <row r="177" spans="3:7" ht="14.25" thickBot="1" thickTop="1">
      <c r="C177" s="182" t="s">
        <v>145</v>
      </c>
      <c r="D177" s="22">
        <v>16</v>
      </c>
      <c r="E177" s="194"/>
      <c r="F177" s="195"/>
      <c r="G177" s="196"/>
    </row>
    <row r="178" spans="3:7" ht="14.25" hidden="1" outlineLevel="1" thickBot="1" thickTop="1">
      <c r="C178" s="182" t="s">
        <v>145</v>
      </c>
      <c r="D178" s="22">
        <v>17</v>
      </c>
      <c r="E178" s="194"/>
      <c r="F178" s="195"/>
      <c r="G178" s="196"/>
    </row>
    <row r="179" spans="3:7" ht="14.25" hidden="1" outlineLevel="1" thickBot="1" thickTop="1">
      <c r="C179" s="182" t="s">
        <v>145</v>
      </c>
      <c r="D179" s="22">
        <v>18</v>
      </c>
      <c r="E179" s="194"/>
      <c r="F179" s="195"/>
      <c r="G179" s="196"/>
    </row>
    <row r="180" spans="3:7" ht="14.25" hidden="1" outlineLevel="1" thickBot="1" thickTop="1">
      <c r="C180" s="182" t="s">
        <v>145</v>
      </c>
      <c r="D180" s="22">
        <v>19</v>
      </c>
      <c r="E180" s="194"/>
      <c r="F180" s="195"/>
      <c r="G180" s="196"/>
    </row>
    <row r="181" spans="3:7" ht="14.25" hidden="1" outlineLevel="1" thickBot="1" thickTop="1">
      <c r="C181" s="182" t="s">
        <v>145</v>
      </c>
      <c r="D181" s="22">
        <v>20</v>
      </c>
      <c r="E181" s="194"/>
      <c r="F181" s="195"/>
      <c r="G181" s="196"/>
    </row>
    <row r="182" spans="3:7" ht="14.25" hidden="1" outlineLevel="1" thickBot="1" thickTop="1">
      <c r="C182" s="182" t="s">
        <v>145</v>
      </c>
      <c r="D182" s="22">
        <v>21</v>
      </c>
      <c r="E182" s="194"/>
      <c r="F182" s="195"/>
      <c r="G182" s="196"/>
    </row>
    <row r="183" spans="3:7" ht="14.25" hidden="1" outlineLevel="1" thickBot="1" thickTop="1">
      <c r="C183" s="182" t="s">
        <v>145</v>
      </c>
      <c r="D183" s="22">
        <v>22</v>
      </c>
      <c r="E183" s="194"/>
      <c r="F183" s="195"/>
      <c r="G183" s="196"/>
    </row>
    <row r="184" spans="3:7" ht="14.25" hidden="1" outlineLevel="1" thickBot="1" thickTop="1">
      <c r="C184" s="182" t="s">
        <v>145</v>
      </c>
      <c r="D184" s="22">
        <v>23</v>
      </c>
      <c r="E184" s="194"/>
      <c r="F184" s="195"/>
      <c r="G184" s="196"/>
    </row>
    <row r="185" spans="3:7" ht="14.25" hidden="1" outlineLevel="1" thickBot="1" thickTop="1">
      <c r="C185" s="182" t="s">
        <v>145</v>
      </c>
      <c r="D185" s="22">
        <v>24</v>
      </c>
      <c r="E185" s="194"/>
      <c r="F185" s="195"/>
      <c r="G185" s="196"/>
    </row>
    <row r="186" spans="3:7" ht="14.25" hidden="1" outlineLevel="1" thickBot="1" thickTop="1">
      <c r="C186" s="182" t="s">
        <v>145</v>
      </c>
      <c r="D186" s="22">
        <v>25</v>
      </c>
      <c r="E186" s="194"/>
      <c r="F186" s="195"/>
      <c r="G186" s="196"/>
    </row>
    <row r="187" spans="3:7" ht="14.25" hidden="1" outlineLevel="1" thickBot="1" thickTop="1">
      <c r="C187" s="182" t="s">
        <v>145</v>
      </c>
      <c r="D187" s="22">
        <v>26</v>
      </c>
      <c r="E187" s="194"/>
      <c r="F187" s="195"/>
      <c r="G187" s="196"/>
    </row>
    <row r="188" spans="3:7" ht="14.25" hidden="1" outlineLevel="1" thickBot="1" thickTop="1">
      <c r="C188" s="182" t="s">
        <v>145</v>
      </c>
      <c r="D188" s="22">
        <v>27</v>
      </c>
      <c r="E188" s="194"/>
      <c r="F188" s="195"/>
      <c r="G188" s="196"/>
    </row>
    <row r="189" spans="3:7" ht="14.25" hidden="1" outlineLevel="1" thickBot="1" thickTop="1">
      <c r="C189" s="182" t="s">
        <v>145</v>
      </c>
      <c r="D189" s="22">
        <v>28</v>
      </c>
      <c r="E189" s="194"/>
      <c r="F189" s="195"/>
      <c r="G189" s="196"/>
    </row>
    <row r="190" spans="3:7" ht="14.25" hidden="1" outlineLevel="1" thickBot="1" thickTop="1">
      <c r="C190" s="182" t="s">
        <v>145</v>
      </c>
      <c r="D190" s="22">
        <v>29</v>
      </c>
      <c r="E190" s="194"/>
      <c r="F190" s="195"/>
      <c r="G190" s="196"/>
    </row>
    <row r="191" spans="3:7" ht="14.25" hidden="1" outlineLevel="1" thickBot="1" thickTop="1">
      <c r="C191" s="182" t="s">
        <v>145</v>
      </c>
      <c r="D191" s="22">
        <v>30</v>
      </c>
      <c r="E191" s="194"/>
      <c r="F191" s="195"/>
      <c r="G191" s="196"/>
    </row>
    <row r="192" spans="3:7" ht="14.25" hidden="1" outlineLevel="1" thickBot="1" thickTop="1">
      <c r="C192" s="182" t="s">
        <v>145</v>
      </c>
      <c r="D192" s="22">
        <v>31</v>
      </c>
      <c r="E192" s="194"/>
      <c r="F192" s="195"/>
      <c r="G192" s="196"/>
    </row>
    <row r="193" spans="3:7" ht="14.25" hidden="1" outlineLevel="1" thickBot="1" thickTop="1">
      <c r="C193" s="182" t="s">
        <v>145</v>
      </c>
      <c r="D193" s="22">
        <v>32</v>
      </c>
      <c r="E193" s="194"/>
      <c r="F193" s="195"/>
      <c r="G193" s="196"/>
    </row>
    <row r="194" spans="3:7" ht="14.25" hidden="1" outlineLevel="1" thickBot="1" thickTop="1">
      <c r="C194" s="182" t="s">
        <v>145</v>
      </c>
      <c r="D194" s="22">
        <v>33</v>
      </c>
      <c r="E194" s="194"/>
      <c r="F194" s="195"/>
      <c r="G194" s="196"/>
    </row>
    <row r="195" spans="3:7" ht="14.25" hidden="1" outlineLevel="1" thickBot="1" thickTop="1">
      <c r="C195" s="182" t="s">
        <v>145</v>
      </c>
      <c r="D195" s="22">
        <v>34</v>
      </c>
      <c r="E195" s="194"/>
      <c r="F195" s="195"/>
      <c r="G195" s="196"/>
    </row>
    <row r="196" spans="3:7" ht="14.25" hidden="1" outlineLevel="1" thickBot="1" thickTop="1">
      <c r="C196" s="182" t="s">
        <v>145</v>
      </c>
      <c r="D196" s="22">
        <v>35</v>
      </c>
      <c r="E196" s="194"/>
      <c r="F196" s="195"/>
      <c r="G196" s="196"/>
    </row>
    <row r="197" spans="3:7" ht="14.25" hidden="1" outlineLevel="1" thickBot="1" thickTop="1">
      <c r="C197" s="182" t="s">
        <v>145</v>
      </c>
      <c r="D197" s="22">
        <v>36</v>
      </c>
      <c r="E197" s="194"/>
      <c r="F197" s="195"/>
      <c r="G197" s="196"/>
    </row>
    <row r="198" spans="3:7" ht="14.25" hidden="1" outlineLevel="1" thickBot="1" thickTop="1">
      <c r="C198" s="182" t="s">
        <v>145</v>
      </c>
      <c r="D198" s="22">
        <v>37</v>
      </c>
      <c r="E198" s="194"/>
      <c r="F198" s="195"/>
      <c r="G198" s="196"/>
    </row>
    <row r="199" spans="3:7" ht="14.25" hidden="1" outlineLevel="1" thickBot="1" thickTop="1">
      <c r="C199" s="182" t="s">
        <v>145</v>
      </c>
      <c r="D199" s="22">
        <v>38</v>
      </c>
      <c r="E199" s="194"/>
      <c r="F199" s="195"/>
      <c r="G199" s="196"/>
    </row>
    <row r="200" spans="3:7" ht="14.25" hidden="1" outlineLevel="1" thickBot="1" thickTop="1">
      <c r="C200" s="182" t="s">
        <v>145</v>
      </c>
      <c r="D200" s="22">
        <v>39</v>
      </c>
      <c r="E200" s="194"/>
      <c r="F200" s="195"/>
      <c r="G200" s="196"/>
    </row>
    <row r="201" spans="3:7" ht="14.25" hidden="1" outlineLevel="1" thickBot="1" thickTop="1">
      <c r="C201" s="182" t="s">
        <v>145</v>
      </c>
      <c r="D201" s="22">
        <v>40</v>
      </c>
      <c r="E201" s="194"/>
      <c r="F201" s="195"/>
      <c r="G201" s="196"/>
    </row>
    <row r="202" spans="3:7" ht="14.25" hidden="1" outlineLevel="1" thickBot="1" thickTop="1">
      <c r="C202" s="182" t="s">
        <v>145</v>
      </c>
      <c r="D202" s="22">
        <v>41</v>
      </c>
      <c r="E202" s="194"/>
      <c r="F202" s="195"/>
      <c r="G202" s="196"/>
    </row>
    <row r="203" spans="3:7" ht="14.25" hidden="1" outlineLevel="1" thickBot="1" thickTop="1">
      <c r="C203" s="182" t="s">
        <v>145</v>
      </c>
      <c r="D203" s="22">
        <v>42</v>
      </c>
      <c r="E203" s="194"/>
      <c r="F203" s="195"/>
      <c r="G203" s="196"/>
    </row>
    <row r="204" spans="3:7" ht="14.25" hidden="1" outlineLevel="1" thickBot="1" thickTop="1">
      <c r="C204" s="182" t="s">
        <v>145</v>
      </c>
      <c r="D204" s="22">
        <v>43</v>
      </c>
      <c r="E204" s="194"/>
      <c r="F204" s="195"/>
      <c r="G204" s="196"/>
    </row>
    <row r="205" spans="3:7" ht="14.25" hidden="1" outlineLevel="1" thickBot="1" thickTop="1">
      <c r="C205" s="182" t="s">
        <v>145</v>
      </c>
      <c r="D205" s="22">
        <v>44</v>
      </c>
      <c r="E205" s="194"/>
      <c r="F205" s="195"/>
      <c r="G205" s="196"/>
    </row>
    <row r="206" spans="3:7" ht="14.25" hidden="1" outlineLevel="1" thickBot="1" thickTop="1">
      <c r="C206" s="182" t="s">
        <v>145</v>
      </c>
      <c r="D206" s="22">
        <v>45</v>
      </c>
      <c r="E206" s="194"/>
      <c r="F206" s="195"/>
      <c r="G206" s="196"/>
    </row>
    <row r="207" spans="3:7" ht="14.25" hidden="1" outlineLevel="1" thickBot="1" thickTop="1">
      <c r="C207" s="182" t="s">
        <v>145</v>
      </c>
      <c r="D207" s="22">
        <v>46</v>
      </c>
      <c r="E207" s="194"/>
      <c r="F207" s="195"/>
      <c r="G207" s="196"/>
    </row>
    <row r="208" spans="3:7" ht="14.25" hidden="1" outlineLevel="1" thickBot="1" thickTop="1">
      <c r="C208" s="182" t="s">
        <v>145</v>
      </c>
      <c r="D208" s="22">
        <v>47</v>
      </c>
      <c r="E208" s="194"/>
      <c r="F208" s="195"/>
      <c r="G208" s="196"/>
    </row>
    <row r="209" spans="3:7" ht="14.25" hidden="1" outlineLevel="1" thickBot="1" thickTop="1">
      <c r="C209" s="182" t="s">
        <v>145</v>
      </c>
      <c r="D209" s="22">
        <v>48</v>
      </c>
      <c r="E209" s="194"/>
      <c r="F209" s="195"/>
      <c r="G209" s="196"/>
    </row>
    <row r="210" spans="3:7" ht="14.25" hidden="1" outlineLevel="1" thickBot="1" thickTop="1">
      <c r="C210" s="182" t="s">
        <v>145</v>
      </c>
      <c r="D210" s="22">
        <v>49</v>
      </c>
      <c r="E210" s="194"/>
      <c r="F210" s="195"/>
      <c r="G210" s="196"/>
    </row>
    <row r="211" spans="3:7" ht="14.25" hidden="1" outlineLevel="1" thickBot="1" thickTop="1">
      <c r="C211" s="182" t="s">
        <v>145</v>
      </c>
      <c r="D211" s="22">
        <v>50</v>
      </c>
      <c r="E211" s="194"/>
      <c r="F211" s="195"/>
      <c r="G211" s="196"/>
    </row>
    <row r="212" spans="3:7" ht="14.25" hidden="1" outlineLevel="1" thickBot="1" thickTop="1">
      <c r="C212" s="182" t="s">
        <v>145</v>
      </c>
      <c r="D212" s="22">
        <v>51</v>
      </c>
      <c r="E212" s="194"/>
      <c r="F212" s="195"/>
      <c r="G212" s="196"/>
    </row>
    <row r="213" spans="3:7" ht="14.25" hidden="1" outlineLevel="1" thickBot="1" thickTop="1">
      <c r="C213" s="182" t="s">
        <v>145</v>
      </c>
      <c r="D213" s="22">
        <v>52</v>
      </c>
      <c r="E213" s="194"/>
      <c r="F213" s="195"/>
      <c r="G213" s="196"/>
    </row>
    <row r="214" spans="3:7" ht="14.25" hidden="1" outlineLevel="1" thickBot="1" thickTop="1">
      <c r="C214" s="182" t="s">
        <v>145</v>
      </c>
      <c r="D214" s="22">
        <v>53</v>
      </c>
      <c r="E214" s="194"/>
      <c r="F214" s="195"/>
      <c r="G214" s="196"/>
    </row>
    <row r="215" spans="3:7" ht="14.25" hidden="1" outlineLevel="1" thickBot="1" thickTop="1">
      <c r="C215" s="182" t="s">
        <v>145</v>
      </c>
      <c r="D215" s="22">
        <v>54</v>
      </c>
      <c r="E215" s="194"/>
      <c r="F215" s="195"/>
      <c r="G215" s="196"/>
    </row>
    <row r="216" spans="3:7" ht="14.25" hidden="1" outlineLevel="1" thickBot="1" thickTop="1">
      <c r="C216" s="182" t="s">
        <v>145</v>
      </c>
      <c r="D216" s="22">
        <v>55</v>
      </c>
      <c r="E216" s="194"/>
      <c r="F216" s="195"/>
      <c r="G216" s="196"/>
    </row>
    <row r="217" spans="3:7" ht="14.25" hidden="1" outlineLevel="1" thickBot="1" thickTop="1">
      <c r="C217" s="182" t="s">
        <v>145</v>
      </c>
      <c r="D217" s="22">
        <v>56</v>
      </c>
      <c r="E217" s="194"/>
      <c r="F217" s="195"/>
      <c r="G217" s="196"/>
    </row>
    <row r="218" spans="3:7" ht="14.25" hidden="1" outlineLevel="1" thickBot="1" thickTop="1">
      <c r="C218" s="182" t="s">
        <v>145</v>
      </c>
      <c r="D218" s="22">
        <v>57</v>
      </c>
      <c r="E218" s="194"/>
      <c r="F218" s="195"/>
      <c r="G218" s="196"/>
    </row>
    <row r="219" spans="3:7" ht="14.25" hidden="1" outlineLevel="1" thickBot="1" thickTop="1">
      <c r="C219" s="182" t="s">
        <v>145</v>
      </c>
      <c r="D219" s="22">
        <v>58</v>
      </c>
      <c r="E219" s="194"/>
      <c r="F219" s="195"/>
      <c r="G219" s="196"/>
    </row>
    <row r="220" spans="3:7" ht="14.25" hidden="1" outlineLevel="1" thickBot="1" thickTop="1">
      <c r="C220" s="182" t="s">
        <v>145</v>
      </c>
      <c r="D220" s="22">
        <v>59</v>
      </c>
      <c r="E220" s="194"/>
      <c r="F220" s="195"/>
      <c r="G220" s="196"/>
    </row>
    <row r="221" spans="3:7" ht="14.25" hidden="1" outlineLevel="1" thickBot="1" thickTop="1">
      <c r="C221" s="182" t="s">
        <v>145</v>
      </c>
      <c r="D221" s="22">
        <v>60</v>
      </c>
      <c r="E221" s="194"/>
      <c r="F221" s="195"/>
      <c r="G221" s="196"/>
    </row>
    <row r="222" spans="3:7" ht="14.25" hidden="1" outlineLevel="1" thickBot="1" thickTop="1">
      <c r="C222" s="182" t="s">
        <v>145</v>
      </c>
      <c r="D222" s="22">
        <v>61</v>
      </c>
      <c r="E222" s="194"/>
      <c r="F222" s="195"/>
      <c r="G222" s="196"/>
    </row>
    <row r="223" spans="3:7" ht="14.25" hidden="1" outlineLevel="1" thickBot="1" thickTop="1">
      <c r="C223" s="182" t="s">
        <v>145</v>
      </c>
      <c r="D223" s="22">
        <v>62</v>
      </c>
      <c r="E223" s="194"/>
      <c r="F223" s="195"/>
      <c r="G223" s="196"/>
    </row>
    <row r="224" spans="3:7" ht="14.25" hidden="1" outlineLevel="1" thickBot="1" thickTop="1">
      <c r="C224" s="182" t="s">
        <v>145</v>
      </c>
      <c r="D224" s="22">
        <v>63</v>
      </c>
      <c r="E224" s="194"/>
      <c r="F224" s="195"/>
      <c r="G224" s="196"/>
    </row>
    <row r="225" spans="3:7" ht="14.25" hidden="1" outlineLevel="1" thickBot="1" thickTop="1">
      <c r="C225" s="182" t="s">
        <v>145</v>
      </c>
      <c r="D225" s="22">
        <v>64</v>
      </c>
      <c r="E225" s="194"/>
      <c r="F225" s="195"/>
      <c r="G225" s="196"/>
    </row>
    <row r="226" spans="3:7" ht="14.25" hidden="1" outlineLevel="1" thickBot="1" thickTop="1">
      <c r="C226" s="182" t="s">
        <v>145</v>
      </c>
      <c r="D226" s="22">
        <v>65</v>
      </c>
      <c r="E226" s="194"/>
      <c r="F226" s="195"/>
      <c r="G226" s="196"/>
    </row>
    <row r="227" spans="3:7" ht="14.25" hidden="1" outlineLevel="1" thickBot="1" thickTop="1">
      <c r="C227" s="182" t="s">
        <v>145</v>
      </c>
      <c r="D227" s="22">
        <v>66</v>
      </c>
      <c r="E227" s="194"/>
      <c r="F227" s="195"/>
      <c r="G227" s="196"/>
    </row>
    <row r="228" spans="3:7" ht="14.25" hidden="1" outlineLevel="1" thickBot="1" thickTop="1">
      <c r="C228" s="182" t="s">
        <v>145</v>
      </c>
      <c r="D228" s="22">
        <v>67</v>
      </c>
      <c r="E228" s="194"/>
      <c r="F228" s="195"/>
      <c r="G228" s="196"/>
    </row>
    <row r="229" spans="3:7" ht="14.25" hidden="1" outlineLevel="1" thickBot="1" thickTop="1">
      <c r="C229" s="182" t="s">
        <v>145</v>
      </c>
      <c r="D229" s="22">
        <v>68</v>
      </c>
      <c r="E229" s="194"/>
      <c r="F229" s="195"/>
      <c r="G229" s="196"/>
    </row>
    <row r="230" spans="3:7" ht="14.25" hidden="1" outlineLevel="1" thickBot="1" thickTop="1">
      <c r="C230" s="182" t="s">
        <v>145</v>
      </c>
      <c r="D230" s="22">
        <v>69</v>
      </c>
      <c r="E230" s="194"/>
      <c r="F230" s="195"/>
      <c r="G230" s="196"/>
    </row>
    <row r="231" spans="3:7" ht="14.25" hidden="1" outlineLevel="1" thickBot="1" thickTop="1">
      <c r="C231" s="182" t="s">
        <v>145</v>
      </c>
      <c r="D231" s="22">
        <v>70</v>
      </c>
      <c r="E231" s="194"/>
      <c r="F231" s="195"/>
      <c r="G231" s="196"/>
    </row>
    <row r="232" spans="3:7" ht="14.25" hidden="1" outlineLevel="1" thickBot="1" thickTop="1">
      <c r="C232" s="182" t="s">
        <v>145</v>
      </c>
      <c r="D232" s="22">
        <v>71</v>
      </c>
      <c r="E232" s="194"/>
      <c r="F232" s="195"/>
      <c r="G232" s="196"/>
    </row>
    <row r="233" spans="3:7" ht="14.25" hidden="1" outlineLevel="1" thickBot="1" thickTop="1">
      <c r="C233" s="182" t="s">
        <v>145</v>
      </c>
      <c r="D233" s="22">
        <v>72</v>
      </c>
      <c r="E233" s="194"/>
      <c r="F233" s="195"/>
      <c r="G233" s="196"/>
    </row>
    <row r="234" spans="3:7" ht="14.25" hidden="1" outlineLevel="1" thickBot="1" thickTop="1">
      <c r="C234" s="182" t="s">
        <v>145</v>
      </c>
      <c r="D234" s="22">
        <v>73</v>
      </c>
      <c r="E234" s="194"/>
      <c r="F234" s="195"/>
      <c r="G234" s="196"/>
    </row>
    <row r="235" spans="3:7" ht="14.25" hidden="1" outlineLevel="1" thickBot="1" thickTop="1">
      <c r="C235" s="182" t="s">
        <v>145</v>
      </c>
      <c r="D235" s="22">
        <v>74</v>
      </c>
      <c r="E235" s="194"/>
      <c r="F235" s="195"/>
      <c r="G235" s="196"/>
    </row>
    <row r="236" spans="3:7" ht="14.25" hidden="1" outlineLevel="1" thickBot="1" thickTop="1">
      <c r="C236" s="182" t="s">
        <v>145</v>
      </c>
      <c r="D236" s="22">
        <v>75</v>
      </c>
      <c r="E236" s="194"/>
      <c r="F236" s="195"/>
      <c r="G236" s="196"/>
    </row>
    <row r="237" spans="3:7" ht="14.25" hidden="1" outlineLevel="1" thickBot="1" thickTop="1">
      <c r="C237" s="182" t="s">
        <v>145</v>
      </c>
      <c r="D237" s="22">
        <v>76</v>
      </c>
      <c r="E237" s="194"/>
      <c r="F237" s="195"/>
      <c r="G237" s="196"/>
    </row>
    <row r="238" spans="3:7" ht="14.25" hidden="1" outlineLevel="1" thickBot="1" thickTop="1">
      <c r="C238" s="182" t="s">
        <v>145</v>
      </c>
      <c r="D238" s="22">
        <v>77</v>
      </c>
      <c r="E238" s="194"/>
      <c r="F238" s="195"/>
      <c r="G238" s="196"/>
    </row>
    <row r="239" spans="3:7" ht="14.25" hidden="1" outlineLevel="1" thickBot="1" thickTop="1">
      <c r="C239" s="182" t="s">
        <v>145</v>
      </c>
      <c r="D239" s="22">
        <v>78</v>
      </c>
      <c r="E239" s="194"/>
      <c r="F239" s="195"/>
      <c r="G239" s="196"/>
    </row>
    <row r="240" spans="3:7" ht="14.25" hidden="1" outlineLevel="1" thickBot="1" thickTop="1">
      <c r="C240" s="182" t="s">
        <v>145</v>
      </c>
      <c r="D240" s="22">
        <v>79</v>
      </c>
      <c r="E240" s="194"/>
      <c r="F240" s="195"/>
      <c r="G240" s="196"/>
    </row>
    <row r="241" spans="3:7" ht="14.25" hidden="1" outlineLevel="1" thickBot="1" thickTop="1">
      <c r="C241" s="182" t="s">
        <v>145</v>
      </c>
      <c r="D241" s="22">
        <v>80</v>
      </c>
      <c r="E241" s="194"/>
      <c r="F241" s="195"/>
      <c r="G241" s="196"/>
    </row>
    <row r="242" spans="3:7" ht="14.25" hidden="1" outlineLevel="1" thickBot="1" thickTop="1">
      <c r="C242" s="182" t="s">
        <v>145</v>
      </c>
      <c r="D242" s="22">
        <v>81</v>
      </c>
      <c r="E242" s="194"/>
      <c r="F242" s="195"/>
      <c r="G242" s="196"/>
    </row>
    <row r="243" spans="3:7" ht="14.25" hidden="1" outlineLevel="1" thickBot="1" thickTop="1">
      <c r="C243" s="182" t="s">
        <v>145</v>
      </c>
      <c r="D243" s="22">
        <v>82</v>
      </c>
      <c r="E243" s="194"/>
      <c r="F243" s="195"/>
      <c r="G243" s="196"/>
    </row>
    <row r="244" spans="3:7" ht="14.25" hidden="1" outlineLevel="1" thickBot="1" thickTop="1">
      <c r="C244" s="182" t="s">
        <v>145</v>
      </c>
      <c r="D244" s="22">
        <v>83</v>
      </c>
      <c r="E244" s="194"/>
      <c r="F244" s="195"/>
      <c r="G244" s="196"/>
    </row>
    <row r="245" spans="3:7" ht="14.25" hidden="1" outlineLevel="1" thickBot="1" thickTop="1">
      <c r="C245" s="182" t="s">
        <v>145</v>
      </c>
      <c r="D245" s="22">
        <v>84</v>
      </c>
      <c r="E245" s="194"/>
      <c r="F245" s="195"/>
      <c r="G245" s="196"/>
    </row>
    <row r="246" spans="3:7" ht="14.25" hidden="1" outlineLevel="1" thickBot="1" thickTop="1">
      <c r="C246" s="182" t="s">
        <v>145</v>
      </c>
      <c r="D246" s="22">
        <v>85</v>
      </c>
      <c r="E246" s="194"/>
      <c r="F246" s="195"/>
      <c r="G246" s="196"/>
    </row>
    <row r="247" spans="3:7" ht="14.25" hidden="1" outlineLevel="1" thickBot="1" thickTop="1">
      <c r="C247" s="182" t="s">
        <v>145</v>
      </c>
      <c r="D247" s="22">
        <v>86</v>
      </c>
      <c r="E247" s="194"/>
      <c r="F247" s="195"/>
      <c r="G247" s="196"/>
    </row>
    <row r="248" spans="3:7" ht="14.25" hidden="1" outlineLevel="1" thickBot="1" thickTop="1">
      <c r="C248" s="182" t="s">
        <v>145</v>
      </c>
      <c r="D248" s="22">
        <v>87</v>
      </c>
      <c r="E248" s="194"/>
      <c r="F248" s="195"/>
      <c r="G248" s="196"/>
    </row>
    <row r="249" spans="3:7" ht="14.25" hidden="1" outlineLevel="1" thickBot="1" thickTop="1">
      <c r="C249" s="182" t="s">
        <v>145</v>
      </c>
      <c r="D249" s="22">
        <v>88</v>
      </c>
      <c r="E249" s="194"/>
      <c r="F249" s="195"/>
      <c r="G249" s="196"/>
    </row>
    <row r="250" spans="3:7" ht="14.25" hidden="1" outlineLevel="1" thickBot="1" thickTop="1">
      <c r="C250" s="182" t="s">
        <v>145</v>
      </c>
      <c r="D250" s="22">
        <v>89</v>
      </c>
      <c r="E250" s="194"/>
      <c r="F250" s="195"/>
      <c r="G250" s="196"/>
    </row>
    <row r="251" spans="3:7" ht="14.25" hidden="1" outlineLevel="1" thickBot="1" thickTop="1">
      <c r="C251" s="182" t="s">
        <v>145</v>
      </c>
      <c r="D251" s="22">
        <v>90</v>
      </c>
      <c r="E251" s="194"/>
      <c r="F251" s="195"/>
      <c r="G251" s="196"/>
    </row>
    <row r="252" spans="3:7" ht="14.25" hidden="1" outlineLevel="1" thickBot="1" thickTop="1">
      <c r="C252" s="182" t="s">
        <v>145</v>
      </c>
      <c r="D252" s="22">
        <v>91</v>
      </c>
      <c r="E252" s="194"/>
      <c r="F252" s="195"/>
      <c r="G252" s="196"/>
    </row>
    <row r="253" spans="3:7" ht="14.25" hidden="1" outlineLevel="1" thickBot="1" thickTop="1">
      <c r="C253" s="182" t="s">
        <v>145</v>
      </c>
      <c r="D253" s="22">
        <v>92</v>
      </c>
      <c r="E253" s="194"/>
      <c r="F253" s="195"/>
      <c r="G253" s="196"/>
    </row>
    <row r="254" spans="3:7" ht="14.25" hidden="1" outlineLevel="1" thickBot="1" thickTop="1">
      <c r="C254" s="182" t="s">
        <v>145</v>
      </c>
      <c r="D254" s="22">
        <v>93</v>
      </c>
      <c r="E254" s="194"/>
      <c r="F254" s="195"/>
      <c r="G254" s="196"/>
    </row>
    <row r="255" spans="3:7" ht="14.25" hidden="1" outlineLevel="1" thickBot="1" thickTop="1">
      <c r="C255" s="182" t="s">
        <v>145</v>
      </c>
      <c r="D255" s="22">
        <v>94</v>
      </c>
      <c r="E255" s="194"/>
      <c r="F255" s="195"/>
      <c r="G255" s="196"/>
    </row>
    <row r="256" spans="3:7" ht="14.25" hidden="1" outlineLevel="1" thickBot="1" thickTop="1">
      <c r="C256" s="182" t="s">
        <v>145</v>
      </c>
      <c r="D256" s="22">
        <v>95</v>
      </c>
      <c r="E256" s="194"/>
      <c r="F256" s="195"/>
      <c r="G256" s="196"/>
    </row>
    <row r="257" spans="3:7" ht="14.25" hidden="1" outlineLevel="1" thickBot="1" thickTop="1">
      <c r="C257" s="182" t="s">
        <v>145</v>
      </c>
      <c r="D257" s="22">
        <v>96</v>
      </c>
      <c r="E257" s="194"/>
      <c r="F257" s="195"/>
      <c r="G257" s="196"/>
    </row>
    <row r="258" spans="3:7" ht="14.25" hidden="1" outlineLevel="1" thickBot="1" thickTop="1">
      <c r="C258" s="182" t="s">
        <v>145</v>
      </c>
      <c r="D258" s="22">
        <v>97</v>
      </c>
      <c r="E258" s="194"/>
      <c r="F258" s="195"/>
      <c r="G258" s="196"/>
    </row>
    <row r="259" spans="3:7" ht="14.25" hidden="1" outlineLevel="1" thickBot="1" thickTop="1">
      <c r="C259" s="182" t="s">
        <v>145</v>
      </c>
      <c r="D259" s="22">
        <v>98</v>
      </c>
      <c r="E259" s="194"/>
      <c r="F259" s="195"/>
      <c r="G259" s="196"/>
    </row>
    <row r="260" spans="3:7" ht="14.25" hidden="1" outlineLevel="1" thickBot="1" thickTop="1">
      <c r="C260" s="182" t="s">
        <v>145</v>
      </c>
      <c r="D260" s="22">
        <v>99</v>
      </c>
      <c r="E260" s="194"/>
      <c r="F260" s="195"/>
      <c r="G260" s="196"/>
    </row>
    <row r="261" spans="3:7" ht="14.25" hidden="1" outlineLevel="1" thickBot="1" thickTop="1">
      <c r="C261" s="182" t="s">
        <v>145</v>
      </c>
      <c r="D261" s="22">
        <v>100</v>
      </c>
      <c r="E261" s="194"/>
      <c r="F261" s="195"/>
      <c r="G261" s="196"/>
    </row>
    <row r="262" spans="3:7" ht="14.25" hidden="1" outlineLevel="1" thickBot="1" thickTop="1">
      <c r="C262" s="182" t="s">
        <v>145</v>
      </c>
      <c r="D262" s="22">
        <v>101</v>
      </c>
      <c r="E262" s="194"/>
      <c r="F262" s="195"/>
      <c r="G262" s="196"/>
    </row>
    <row r="263" spans="3:7" ht="14.25" hidden="1" outlineLevel="1" thickBot="1" thickTop="1">
      <c r="C263" s="182" t="s">
        <v>145</v>
      </c>
      <c r="D263" s="22">
        <v>102</v>
      </c>
      <c r="E263" s="194"/>
      <c r="F263" s="195"/>
      <c r="G263" s="196"/>
    </row>
    <row r="264" spans="3:7" ht="14.25" hidden="1" outlineLevel="1" thickBot="1" thickTop="1">
      <c r="C264" s="182" t="s">
        <v>145</v>
      </c>
      <c r="D264" s="22">
        <v>103</v>
      </c>
      <c r="E264" s="194"/>
      <c r="F264" s="195"/>
      <c r="G264" s="196"/>
    </row>
    <row r="265" spans="3:7" ht="14.25" hidden="1" outlineLevel="1" thickBot="1" thickTop="1">
      <c r="C265" s="182" t="s">
        <v>145</v>
      </c>
      <c r="D265" s="22">
        <v>104</v>
      </c>
      <c r="E265" s="194"/>
      <c r="F265" s="195"/>
      <c r="G265" s="196"/>
    </row>
    <row r="266" spans="3:7" ht="14.25" hidden="1" outlineLevel="1" thickBot="1" thickTop="1">
      <c r="C266" s="182" t="s">
        <v>145</v>
      </c>
      <c r="D266" s="22">
        <v>105</v>
      </c>
      <c r="E266" s="194"/>
      <c r="F266" s="195"/>
      <c r="G266" s="196"/>
    </row>
    <row r="267" spans="3:7" ht="14.25" hidden="1" outlineLevel="1" thickBot="1" thickTop="1">
      <c r="C267" s="182" t="s">
        <v>145</v>
      </c>
      <c r="D267" s="22">
        <v>106</v>
      </c>
      <c r="E267" s="194"/>
      <c r="F267" s="195"/>
      <c r="G267" s="196"/>
    </row>
    <row r="268" spans="3:7" ht="14.25" hidden="1" outlineLevel="1" thickBot="1" thickTop="1">
      <c r="C268" s="182" t="s">
        <v>145</v>
      </c>
      <c r="D268" s="22">
        <v>107</v>
      </c>
      <c r="E268" s="194"/>
      <c r="F268" s="195"/>
      <c r="G268" s="196"/>
    </row>
    <row r="269" spans="3:7" ht="14.25" hidden="1" outlineLevel="1" thickBot="1" thickTop="1">
      <c r="C269" s="182" t="s">
        <v>145</v>
      </c>
      <c r="D269" s="22">
        <v>108</v>
      </c>
      <c r="E269" s="194"/>
      <c r="F269" s="195"/>
      <c r="G269" s="196"/>
    </row>
    <row r="270" spans="3:7" ht="14.25" hidden="1" outlineLevel="1" thickBot="1" thickTop="1">
      <c r="C270" s="182" t="s">
        <v>145</v>
      </c>
      <c r="D270" s="22">
        <v>109</v>
      </c>
      <c r="E270" s="194"/>
      <c r="F270" s="195"/>
      <c r="G270" s="196"/>
    </row>
    <row r="271" spans="3:7" ht="14.25" hidden="1" outlineLevel="1" thickBot="1" thickTop="1">
      <c r="C271" s="182" t="s">
        <v>145</v>
      </c>
      <c r="D271" s="22">
        <v>110</v>
      </c>
      <c r="E271" s="194"/>
      <c r="F271" s="195"/>
      <c r="G271" s="196"/>
    </row>
    <row r="272" spans="3:7" ht="14.25" hidden="1" outlineLevel="1" thickBot="1" thickTop="1">
      <c r="C272" s="182" t="s">
        <v>145</v>
      </c>
      <c r="D272" s="22">
        <v>111</v>
      </c>
      <c r="E272" s="194"/>
      <c r="F272" s="195"/>
      <c r="G272" s="196"/>
    </row>
    <row r="273" spans="3:7" ht="14.25" hidden="1" outlineLevel="1" thickBot="1" thickTop="1">
      <c r="C273" s="182" t="s">
        <v>145</v>
      </c>
      <c r="D273" s="22">
        <v>112</v>
      </c>
      <c r="E273" s="194"/>
      <c r="F273" s="195"/>
      <c r="G273" s="196"/>
    </row>
    <row r="274" spans="3:7" ht="14.25" hidden="1" outlineLevel="1" thickBot="1" thickTop="1">
      <c r="C274" s="182" t="s">
        <v>145</v>
      </c>
      <c r="D274" s="22">
        <v>113</v>
      </c>
      <c r="E274" s="194"/>
      <c r="F274" s="195"/>
      <c r="G274" s="196"/>
    </row>
    <row r="275" spans="3:7" ht="14.25" hidden="1" outlineLevel="1" thickBot="1" thickTop="1">
      <c r="C275" s="182" t="s">
        <v>145</v>
      </c>
      <c r="D275" s="22">
        <v>114</v>
      </c>
      <c r="E275" s="194"/>
      <c r="F275" s="195"/>
      <c r="G275" s="196"/>
    </row>
    <row r="276" spans="3:7" ht="14.25" hidden="1" outlineLevel="1" thickBot="1" thickTop="1">
      <c r="C276" s="182" t="s">
        <v>145</v>
      </c>
      <c r="D276" s="22">
        <v>115</v>
      </c>
      <c r="E276" s="194"/>
      <c r="F276" s="195"/>
      <c r="G276" s="196"/>
    </row>
    <row r="277" spans="3:7" ht="14.25" hidden="1" outlineLevel="1" thickBot="1" thickTop="1">
      <c r="C277" s="182" t="s">
        <v>145</v>
      </c>
      <c r="D277" s="22">
        <v>116</v>
      </c>
      <c r="E277" s="194"/>
      <c r="F277" s="195"/>
      <c r="G277" s="196"/>
    </row>
    <row r="278" spans="3:7" ht="14.25" hidden="1" outlineLevel="1" thickBot="1" thickTop="1">
      <c r="C278" s="182" t="s">
        <v>145</v>
      </c>
      <c r="D278" s="22">
        <v>117</v>
      </c>
      <c r="E278" s="194"/>
      <c r="F278" s="195"/>
      <c r="G278" s="196"/>
    </row>
    <row r="279" spans="3:7" ht="14.25" hidden="1" outlineLevel="1" thickBot="1" thickTop="1">
      <c r="C279" s="182" t="s">
        <v>145</v>
      </c>
      <c r="D279" s="22">
        <v>118</v>
      </c>
      <c r="E279" s="194"/>
      <c r="F279" s="195"/>
      <c r="G279" s="196"/>
    </row>
    <row r="280" spans="3:7" ht="14.25" hidden="1" outlineLevel="1" thickBot="1" thickTop="1">
      <c r="C280" s="182" t="s">
        <v>145</v>
      </c>
      <c r="D280" s="22">
        <v>119</v>
      </c>
      <c r="E280" s="194"/>
      <c r="F280" s="195"/>
      <c r="G280" s="196"/>
    </row>
    <row r="281" spans="3:7" ht="14.25" hidden="1" outlineLevel="1" thickBot="1" thickTop="1">
      <c r="C281" s="182" t="s">
        <v>145</v>
      </c>
      <c r="D281" s="22">
        <v>120</v>
      </c>
      <c r="E281" s="194"/>
      <c r="F281" s="195"/>
      <c r="G281" s="196"/>
    </row>
    <row r="282" spans="3:7" ht="14.25" hidden="1" outlineLevel="1" thickBot="1" thickTop="1">
      <c r="C282" s="182" t="s">
        <v>145</v>
      </c>
      <c r="D282" s="22">
        <v>121</v>
      </c>
      <c r="E282" s="194"/>
      <c r="F282" s="195"/>
      <c r="G282" s="196"/>
    </row>
    <row r="283" spans="3:7" ht="14.25" hidden="1" outlineLevel="1" thickBot="1" thickTop="1">
      <c r="C283" s="182" t="s">
        <v>145</v>
      </c>
      <c r="D283" s="22">
        <v>122</v>
      </c>
      <c r="E283" s="194"/>
      <c r="F283" s="195"/>
      <c r="G283" s="196"/>
    </row>
    <row r="284" spans="3:7" ht="14.25" hidden="1" outlineLevel="1" thickBot="1" thickTop="1">
      <c r="C284" s="182" t="s">
        <v>145</v>
      </c>
      <c r="D284" s="22">
        <v>123</v>
      </c>
      <c r="E284" s="194"/>
      <c r="F284" s="195"/>
      <c r="G284" s="196"/>
    </row>
    <row r="285" spans="3:7" ht="14.25" hidden="1" outlineLevel="1" thickBot="1" thickTop="1">
      <c r="C285" s="182" t="s">
        <v>145</v>
      </c>
      <c r="D285" s="22">
        <v>124</v>
      </c>
      <c r="E285" s="194"/>
      <c r="F285" s="195"/>
      <c r="G285" s="196"/>
    </row>
    <row r="286" spans="3:7" ht="14.25" hidden="1" outlineLevel="1" thickBot="1" thickTop="1">
      <c r="C286" s="182" t="s">
        <v>145</v>
      </c>
      <c r="D286" s="22">
        <v>125</v>
      </c>
      <c r="E286" s="194"/>
      <c r="F286" s="195"/>
      <c r="G286" s="196"/>
    </row>
    <row r="287" spans="3:7" ht="14.25" hidden="1" outlineLevel="1" thickBot="1" thickTop="1">
      <c r="C287" s="182" t="s">
        <v>145</v>
      </c>
      <c r="D287" s="22">
        <v>126</v>
      </c>
      <c r="E287" s="194"/>
      <c r="F287" s="195"/>
      <c r="G287" s="196"/>
    </row>
    <row r="288" spans="3:7" ht="14.25" hidden="1" outlineLevel="1" thickBot="1" thickTop="1">
      <c r="C288" s="182" t="s">
        <v>145</v>
      </c>
      <c r="D288" s="22">
        <v>127</v>
      </c>
      <c r="E288" s="194"/>
      <c r="F288" s="195"/>
      <c r="G288" s="196"/>
    </row>
    <row r="289" spans="3:7" ht="14.25" hidden="1" outlineLevel="1" thickBot="1" thickTop="1">
      <c r="C289" s="182" t="s">
        <v>145</v>
      </c>
      <c r="D289" s="22">
        <v>128</v>
      </c>
      <c r="E289" s="194"/>
      <c r="F289" s="195"/>
      <c r="G289" s="196"/>
    </row>
    <row r="290" spans="3:7" ht="14.25" hidden="1" outlineLevel="1" thickBot="1" thickTop="1">
      <c r="C290" s="182" t="s">
        <v>145</v>
      </c>
      <c r="D290" s="22">
        <v>129</v>
      </c>
      <c r="E290" s="194"/>
      <c r="F290" s="195"/>
      <c r="G290" s="196"/>
    </row>
    <row r="291" spans="3:7" ht="14.25" hidden="1" outlineLevel="1" thickBot="1" thickTop="1">
      <c r="C291" s="182" t="s">
        <v>145</v>
      </c>
      <c r="D291" s="22">
        <v>130</v>
      </c>
      <c r="E291" s="194"/>
      <c r="F291" s="195"/>
      <c r="G291" s="196"/>
    </row>
    <row r="292" spans="3:7" ht="14.25" hidden="1" outlineLevel="1" thickBot="1" thickTop="1">
      <c r="C292" s="182" t="s">
        <v>145</v>
      </c>
      <c r="D292" s="22">
        <v>131</v>
      </c>
      <c r="E292" s="194"/>
      <c r="F292" s="195"/>
      <c r="G292" s="196"/>
    </row>
    <row r="293" spans="3:7" ht="14.25" hidden="1" outlineLevel="1" thickBot="1" thickTop="1">
      <c r="C293" s="182" t="s">
        <v>145</v>
      </c>
      <c r="D293" s="22">
        <v>132</v>
      </c>
      <c r="E293" s="194"/>
      <c r="F293" s="195"/>
      <c r="G293" s="196"/>
    </row>
    <row r="294" spans="3:7" ht="14.25" hidden="1" outlineLevel="1" thickBot="1" thickTop="1">
      <c r="C294" s="182" t="s">
        <v>145</v>
      </c>
      <c r="D294" s="22">
        <v>133</v>
      </c>
      <c r="E294" s="194"/>
      <c r="F294" s="195"/>
      <c r="G294" s="196"/>
    </row>
    <row r="295" spans="3:7" ht="14.25" hidden="1" outlineLevel="1" thickBot="1" thickTop="1">
      <c r="C295" s="182" t="s">
        <v>145</v>
      </c>
      <c r="D295" s="22">
        <v>134</v>
      </c>
      <c r="E295" s="194"/>
      <c r="F295" s="195"/>
      <c r="G295" s="196"/>
    </row>
    <row r="296" spans="3:7" ht="14.25" hidden="1" outlineLevel="1" thickBot="1" thickTop="1">
      <c r="C296" s="182" t="s">
        <v>145</v>
      </c>
      <c r="D296" s="22">
        <v>135</v>
      </c>
      <c r="E296" s="194"/>
      <c r="F296" s="195"/>
      <c r="G296" s="196"/>
    </row>
    <row r="297" spans="3:7" ht="14.25" hidden="1" outlineLevel="1" thickBot="1" thickTop="1">
      <c r="C297" s="182" t="s">
        <v>145</v>
      </c>
      <c r="D297" s="22">
        <v>136</v>
      </c>
      <c r="E297" s="194"/>
      <c r="F297" s="195"/>
      <c r="G297" s="196"/>
    </row>
    <row r="298" spans="3:7" ht="14.25" hidden="1" outlineLevel="1" thickBot="1" thickTop="1">
      <c r="C298" s="182" t="s">
        <v>145</v>
      </c>
      <c r="D298" s="22">
        <v>137</v>
      </c>
      <c r="E298" s="194"/>
      <c r="F298" s="195"/>
      <c r="G298" s="196"/>
    </row>
    <row r="299" spans="3:7" ht="14.25" hidden="1" outlineLevel="1" thickBot="1" thickTop="1">
      <c r="C299" s="182" t="s">
        <v>145</v>
      </c>
      <c r="D299" s="22">
        <v>138</v>
      </c>
      <c r="E299" s="194"/>
      <c r="F299" s="195"/>
      <c r="G299" s="196"/>
    </row>
    <row r="300" spans="3:7" ht="14.25" hidden="1" outlineLevel="1" thickBot="1" thickTop="1">
      <c r="C300" s="182" t="s">
        <v>145</v>
      </c>
      <c r="D300" s="22">
        <v>139</v>
      </c>
      <c r="E300" s="194"/>
      <c r="F300" s="195"/>
      <c r="G300" s="196"/>
    </row>
    <row r="301" spans="3:7" ht="14.25" hidden="1" outlineLevel="1" thickBot="1" thickTop="1">
      <c r="C301" s="182" t="s">
        <v>145</v>
      </c>
      <c r="D301" s="22">
        <v>140</v>
      </c>
      <c r="E301" s="194"/>
      <c r="F301" s="195"/>
      <c r="G301" s="196"/>
    </row>
    <row r="302" spans="3:7" ht="14.25" hidden="1" outlineLevel="1" thickBot="1" thickTop="1">
      <c r="C302" s="182" t="s">
        <v>145</v>
      </c>
      <c r="D302" s="22">
        <v>141</v>
      </c>
      <c r="E302" s="194"/>
      <c r="F302" s="195"/>
      <c r="G302" s="196"/>
    </row>
    <row r="303" spans="3:7" ht="14.25" hidden="1" outlineLevel="1" thickBot="1" thickTop="1">
      <c r="C303" s="182" t="s">
        <v>145</v>
      </c>
      <c r="D303" s="22">
        <v>142</v>
      </c>
      <c r="E303" s="194"/>
      <c r="F303" s="195"/>
      <c r="G303" s="196"/>
    </row>
    <row r="304" spans="3:7" ht="14.25" hidden="1" outlineLevel="1" thickBot="1" thickTop="1">
      <c r="C304" s="182" t="s">
        <v>145</v>
      </c>
      <c r="D304" s="22">
        <v>143</v>
      </c>
      <c r="E304" s="194"/>
      <c r="F304" s="195"/>
      <c r="G304" s="196"/>
    </row>
    <row r="305" spans="3:7" ht="14.25" hidden="1" outlineLevel="1" thickBot="1" thickTop="1">
      <c r="C305" s="182" t="s">
        <v>145</v>
      </c>
      <c r="D305" s="22">
        <v>144</v>
      </c>
      <c r="E305" s="194"/>
      <c r="F305" s="195"/>
      <c r="G305" s="196"/>
    </row>
    <row r="306" spans="3:7" ht="14.25" hidden="1" outlineLevel="1" thickBot="1" thickTop="1">
      <c r="C306" s="182" t="s">
        <v>145</v>
      </c>
      <c r="D306" s="22">
        <v>145</v>
      </c>
      <c r="E306" s="194"/>
      <c r="F306" s="195"/>
      <c r="G306" s="196"/>
    </row>
    <row r="307" spans="3:7" ht="14.25" hidden="1" outlineLevel="1" thickBot="1" thickTop="1">
      <c r="C307" s="182" t="s">
        <v>145</v>
      </c>
      <c r="D307" s="22">
        <v>146</v>
      </c>
      <c r="E307" s="194"/>
      <c r="F307" s="195"/>
      <c r="G307" s="196"/>
    </row>
    <row r="308" spans="3:7" ht="14.25" hidden="1" outlineLevel="1" thickBot="1" thickTop="1">
      <c r="C308" s="182" t="s">
        <v>145</v>
      </c>
      <c r="D308" s="22">
        <v>147</v>
      </c>
      <c r="E308" s="194"/>
      <c r="F308" s="195"/>
      <c r="G308" s="196"/>
    </row>
    <row r="309" spans="3:7" ht="14.25" hidden="1" outlineLevel="1" thickBot="1" thickTop="1">
      <c r="C309" s="182" t="s">
        <v>145</v>
      </c>
      <c r="D309" s="22">
        <v>148</v>
      </c>
      <c r="E309" s="194"/>
      <c r="F309" s="195"/>
      <c r="G309" s="196"/>
    </row>
    <row r="310" spans="3:7" ht="14.25" hidden="1" outlineLevel="1" thickBot="1" thickTop="1">
      <c r="C310" s="182" t="s">
        <v>145</v>
      </c>
      <c r="D310" s="22">
        <v>149</v>
      </c>
      <c r="E310" s="194"/>
      <c r="F310" s="195"/>
      <c r="G310" s="196"/>
    </row>
    <row r="311" spans="3:7" ht="14.25" hidden="1" outlineLevel="1" thickBot="1" thickTop="1">
      <c r="C311" s="182" t="s">
        <v>145</v>
      </c>
      <c r="D311" s="22">
        <v>150</v>
      </c>
      <c r="E311" s="194"/>
      <c r="F311" s="195"/>
      <c r="G311" s="196"/>
    </row>
    <row r="312" spans="3:7" ht="14.25" hidden="1" outlineLevel="1" thickBot="1" thickTop="1">
      <c r="C312" s="182" t="s">
        <v>145</v>
      </c>
      <c r="D312" s="22">
        <v>151</v>
      </c>
      <c r="E312" s="194"/>
      <c r="F312" s="195"/>
      <c r="G312" s="196"/>
    </row>
    <row r="313" spans="3:7" ht="14.25" hidden="1" outlineLevel="1" thickBot="1" thickTop="1">
      <c r="C313" s="182" t="s">
        <v>145</v>
      </c>
      <c r="D313" s="22">
        <v>152</v>
      </c>
      <c r="E313" s="194"/>
      <c r="F313" s="195"/>
      <c r="G313" s="196"/>
    </row>
    <row r="314" spans="3:7" ht="14.25" hidden="1" outlineLevel="1" thickBot="1" thickTop="1">
      <c r="C314" s="182" t="s">
        <v>145</v>
      </c>
      <c r="D314" s="22">
        <v>153</v>
      </c>
      <c r="E314" s="194"/>
      <c r="F314" s="195"/>
      <c r="G314" s="196"/>
    </row>
    <row r="315" spans="3:7" ht="14.25" hidden="1" outlineLevel="1" thickBot="1" thickTop="1">
      <c r="C315" s="182" t="s">
        <v>145</v>
      </c>
      <c r="D315" s="22">
        <v>154</v>
      </c>
      <c r="E315" s="194"/>
      <c r="F315" s="195"/>
      <c r="G315" s="196"/>
    </row>
    <row r="316" spans="3:7" ht="14.25" hidden="1" outlineLevel="1" thickBot="1" thickTop="1">
      <c r="C316" s="182" t="s">
        <v>145</v>
      </c>
      <c r="D316" s="22">
        <v>155</v>
      </c>
      <c r="E316" s="194"/>
      <c r="F316" s="195"/>
      <c r="G316" s="196"/>
    </row>
    <row r="317" spans="3:7" ht="12.75" customHeight="1" hidden="1" outlineLevel="1" thickBot="1" thickTop="1">
      <c r="C317" s="182" t="s">
        <v>145</v>
      </c>
      <c r="D317" s="22">
        <v>156</v>
      </c>
      <c r="E317" s="194"/>
      <c r="F317" s="195"/>
      <c r="G317" s="196"/>
    </row>
    <row r="318" spans="3:7" ht="12.75" customHeight="1" hidden="1" outlineLevel="1" thickBot="1" thickTop="1">
      <c r="C318" s="182" t="s">
        <v>145</v>
      </c>
      <c r="D318" s="22">
        <v>157</v>
      </c>
      <c r="E318" s="194"/>
      <c r="F318" s="195"/>
      <c r="G318" s="196"/>
    </row>
    <row r="319" spans="3:7" ht="12.75" customHeight="1" hidden="1" outlineLevel="1" thickBot="1" thickTop="1">
      <c r="C319" s="182" t="s">
        <v>145</v>
      </c>
      <c r="D319" s="22">
        <v>158</v>
      </c>
      <c r="E319" s="194"/>
      <c r="F319" s="195"/>
      <c r="G319" s="196"/>
    </row>
    <row r="320" spans="3:7" ht="12.75" customHeight="1" hidden="1" outlineLevel="1" thickBot="1" thickTop="1">
      <c r="C320" s="182" t="s">
        <v>145</v>
      </c>
      <c r="D320" s="22">
        <v>159</v>
      </c>
      <c r="E320" s="194"/>
      <c r="F320" s="195"/>
      <c r="G320" s="196"/>
    </row>
    <row r="321" spans="3:7" ht="12.75" customHeight="1" hidden="1" outlineLevel="1" thickBot="1" thickTop="1">
      <c r="C321" s="182" t="s">
        <v>145</v>
      </c>
      <c r="D321" s="22">
        <v>160</v>
      </c>
      <c r="E321" s="194"/>
      <c r="F321" s="195"/>
      <c r="G321" s="196"/>
    </row>
    <row r="322" spans="3:7" ht="12.75" customHeight="1" hidden="1" outlineLevel="1" thickBot="1" thickTop="1">
      <c r="C322" s="182" t="s">
        <v>145</v>
      </c>
      <c r="D322" s="22">
        <v>161</v>
      </c>
      <c r="E322" s="194"/>
      <c r="F322" s="195"/>
      <c r="G322" s="196"/>
    </row>
    <row r="323" spans="3:7" ht="12.75" customHeight="1" hidden="1" outlineLevel="1" thickBot="1" thickTop="1">
      <c r="C323" s="182" t="s">
        <v>145</v>
      </c>
      <c r="D323" s="22">
        <v>162</v>
      </c>
      <c r="E323" s="194"/>
      <c r="F323" s="195"/>
      <c r="G323" s="196"/>
    </row>
    <row r="324" spans="3:7" ht="12.75" customHeight="1" hidden="1" outlineLevel="1" thickBot="1" thickTop="1">
      <c r="C324" s="182" t="s">
        <v>145</v>
      </c>
      <c r="D324" s="22">
        <v>163</v>
      </c>
      <c r="E324" s="194"/>
      <c r="F324" s="195"/>
      <c r="G324" s="196"/>
    </row>
    <row r="325" spans="3:7" ht="12.75" customHeight="1" hidden="1" outlineLevel="1" thickBot="1" thickTop="1">
      <c r="C325" s="182" t="s">
        <v>145</v>
      </c>
      <c r="D325" s="22">
        <v>164</v>
      </c>
      <c r="E325" s="194"/>
      <c r="F325" s="195"/>
      <c r="G325" s="196"/>
    </row>
    <row r="326" spans="3:7" ht="12.75" customHeight="1" hidden="1" outlineLevel="1" thickBot="1" thickTop="1">
      <c r="C326" s="182" t="s">
        <v>145</v>
      </c>
      <c r="D326" s="22">
        <v>165</v>
      </c>
      <c r="E326" s="194"/>
      <c r="F326" s="195"/>
      <c r="G326" s="196"/>
    </row>
    <row r="327" spans="3:7" ht="12.75" customHeight="1" hidden="1" outlineLevel="1" thickBot="1" thickTop="1">
      <c r="C327" s="182" t="s">
        <v>145</v>
      </c>
      <c r="D327" s="22">
        <v>166</v>
      </c>
      <c r="E327" s="194"/>
      <c r="F327" s="195"/>
      <c r="G327" s="196"/>
    </row>
    <row r="328" spans="3:7" ht="12.75" customHeight="1" hidden="1" outlineLevel="1" thickBot="1" thickTop="1">
      <c r="C328" s="182" t="s">
        <v>145</v>
      </c>
      <c r="D328" s="22">
        <v>167</v>
      </c>
      <c r="E328" s="194"/>
      <c r="F328" s="195"/>
      <c r="G328" s="196"/>
    </row>
    <row r="329" spans="3:7" ht="12.75" customHeight="1" hidden="1" outlineLevel="1" thickBot="1" thickTop="1">
      <c r="C329" s="182" t="s">
        <v>145</v>
      </c>
      <c r="D329" s="22">
        <v>168</v>
      </c>
      <c r="E329" s="194"/>
      <c r="F329" s="195"/>
      <c r="G329" s="196"/>
    </row>
    <row r="330" spans="3:7" ht="12.75" customHeight="1" hidden="1" outlineLevel="1" thickBot="1" thickTop="1">
      <c r="C330" s="182" t="s">
        <v>145</v>
      </c>
      <c r="D330" s="22">
        <v>169</v>
      </c>
      <c r="E330" s="194"/>
      <c r="F330" s="195"/>
      <c r="G330" s="196"/>
    </row>
    <row r="331" spans="3:7" ht="12.75" customHeight="1" hidden="1" outlineLevel="1" thickBot="1" thickTop="1">
      <c r="C331" s="182" t="s">
        <v>145</v>
      </c>
      <c r="D331" s="22">
        <v>170</v>
      </c>
      <c r="E331" s="194"/>
      <c r="F331" s="195"/>
      <c r="G331" s="196"/>
    </row>
    <row r="332" spans="3:7" ht="12.75" customHeight="1" hidden="1" outlineLevel="1" thickBot="1" thickTop="1">
      <c r="C332" s="182" t="s">
        <v>145</v>
      </c>
      <c r="D332" s="22">
        <v>171</v>
      </c>
      <c r="E332" s="194"/>
      <c r="F332" s="195"/>
      <c r="G332" s="196"/>
    </row>
    <row r="333" spans="3:7" ht="12.75" customHeight="1" hidden="1" outlineLevel="1" thickBot="1" thickTop="1">
      <c r="C333" s="182" t="s">
        <v>145</v>
      </c>
      <c r="D333" s="22">
        <v>172</v>
      </c>
      <c r="E333" s="194"/>
      <c r="F333" s="195"/>
      <c r="G333" s="196"/>
    </row>
    <row r="334" spans="3:7" ht="12.75" customHeight="1" hidden="1" outlineLevel="1" thickBot="1" thickTop="1">
      <c r="C334" s="182" t="s">
        <v>145</v>
      </c>
      <c r="D334" s="22">
        <v>173</v>
      </c>
      <c r="E334" s="194"/>
      <c r="F334" s="195"/>
      <c r="G334" s="196"/>
    </row>
    <row r="335" spans="3:7" ht="12.75" customHeight="1" hidden="1" outlineLevel="1" thickBot="1" thickTop="1">
      <c r="C335" s="182" t="s">
        <v>145</v>
      </c>
      <c r="D335" s="22">
        <v>174</v>
      </c>
      <c r="E335" s="194"/>
      <c r="F335" s="195"/>
      <c r="G335" s="196"/>
    </row>
    <row r="336" spans="3:7" ht="12.75" customHeight="1" hidden="1" outlineLevel="1" thickBot="1" thickTop="1">
      <c r="C336" s="182" t="s">
        <v>145</v>
      </c>
      <c r="D336" s="22">
        <v>175</v>
      </c>
      <c r="E336" s="194"/>
      <c r="F336" s="195"/>
      <c r="G336" s="196"/>
    </row>
    <row r="337" spans="3:7" ht="12.75" customHeight="1" hidden="1" outlineLevel="1" thickBot="1" thickTop="1">
      <c r="C337" s="182" t="s">
        <v>145</v>
      </c>
      <c r="D337" s="22">
        <v>176</v>
      </c>
      <c r="E337" s="194"/>
      <c r="F337" s="195"/>
      <c r="G337" s="196"/>
    </row>
    <row r="338" spans="3:7" ht="12.75" customHeight="1" hidden="1" outlineLevel="1" thickBot="1" thickTop="1">
      <c r="C338" s="182" t="s">
        <v>145</v>
      </c>
      <c r="D338" s="22">
        <v>177</v>
      </c>
      <c r="E338" s="194"/>
      <c r="F338" s="195"/>
      <c r="G338" s="196"/>
    </row>
    <row r="339" spans="3:7" ht="14.25" hidden="1" outlineLevel="1" thickBot="1" thickTop="1">
      <c r="C339" s="182" t="s">
        <v>145</v>
      </c>
      <c r="D339" s="22">
        <v>178</v>
      </c>
      <c r="E339" s="194"/>
      <c r="F339" s="195"/>
      <c r="G339" s="196"/>
    </row>
    <row r="340" spans="3:7" ht="14.25" hidden="1" outlineLevel="1" thickBot="1" thickTop="1">
      <c r="C340" s="182" t="s">
        <v>145</v>
      </c>
      <c r="D340" s="22">
        <v>179</v>
      </c>
      <c r="E340" s="194"/>
      <c r="F340" s="195"/>
      <c r="G340" s="196"/>
    </row>
    <row r="341" spans="3:7" ht="12.75" customHeight="1" hidden="1" outlineLevel="1" thickBot="1" thickTop="1">
      <c r="C341" s="182" t="s">
        <v>145</v>
      </c>
      <c r="D341" s="22">
        <v>180</v>
      </c>
      <c r="E341" s="194"/>
      <c r="F341" s="195"/>
      <c r="G341" s="196"/>
    </row>
    <row r="342" spans="3:7" ht="12.75" customHeight="1" hidden="1" outlineLevel="1" thickBot="1" thickTop="1">
      <c r="C342" s="182" t="s">
        <v>145</v>
      </c>
      <c r="D342" s="22">
        <v>181</v>
      </c>
      <c r="E342" s="194"/>
      <c r="F342" s="195"/>
      <c r="G342" s="196"/>
    </row>
    <row r="343" spans="3:7" ht="12.75" customHeight="1" hidden="1" outlineLevel="1" thickBot="1" thickTop="1">
      <c r="C343" s="182" t="s">
        <v>145</v>
      </c>
      <c r="D343" s="22">
        <v>182</v>
      </c>
      <c r="E343" s="194"/>
      <c r="F343" s="195"/>
      <c r="G343" s="196"/>
    </row>
    <row r="344" spans="3:7" ht="12.75" customHeight="1" hidden="1" outlineLevel="1" thickBot="1" thickTop="1">
      <c r="C344" s="182" t="s">
        <v>145</v>
      </c>
      <c r="D344" s="22">
        <v>183</v>
      </c>
      <c r="E344" s="194"/>
      <c r="F344" s="195"/>
      <c r="G344" s="196"/>
    </row>
    <row r="345" spans="3:7" ht="12.75" customHeight="1" hidden="1" outlineLevel="1" thickBot="1" thickTop="1">
      <c r="C345" s="182" t="s">
        <v>145</v>
      </c>
      <c r="D345" s="22">
        <v>184</v>
      </c>
      <c r="E345" s="194"/>
      <c r="F345" s="195"/>
      <c r="G345" s="196"/>
    </row>
    <row r="346" spans="3:7" ht="12.75" customHeight="1" hidden="1" outlineLevel="1" thickBot="1" thickTop="1">
      <c r="C346" s="182" t="s">
        <v>145</v>
      </c>
      <c r="D346" s="22">
        <v>185</v>
      </c>
      <c r="E346" s="194"/>
      <c r="F346" s="195"/>
      <c r="G346" s="196"/>
    </row>
    <row r="347" spans="3:7" ht="12.75" customHeight="1" hidden="1" outlineLevel="1" thickBot="1" thickTop="1">
      <c r="C347" s="182" t="s">
        <v>145</v>
      </c>
      <c r="D347" s="22">
        <v>186</v>
      </c>
      <c r="E347" s="194"/>
      <c r="F347" s="195"/>
      <c r="G347" s="196"/>
    </row>
    <row r="348" spans="3:7" ht="12.75" customHeight="1" hidden="1" outlineLevel="1" thickBot="1" thickTop="1">
      <c r="C348" s="182" t="s">
        <v>145</v>
      </c>
      <c r="D348" s="22">
        <v>187</v>
      </c>
      <c r="E348" s="194"/>
      <c r="F348" s="195"/>
      <c r="G348" s="196"/>
    </row>
    <row r="349" spans="3:7" ht="12.75" customHeight="1" hidden="1" outlineLevel="1" thickBot="1" thickTop="1">
      <c r="C349" s="182" t="s">
        <v>145</v>
      </c>
      <c r="D349" s="22">
        <v>188</v>
      </c>
      <c r="E349" s="194"/>
      <c r="F349" s="195"/>
      <c r="G349" s="196"/>
    </row>
    <row r="350" spans="3:7" ht="12.75" customHeight="1" hidden="1" outlineLevel="1" thickBot="1" thickTop="1">
      <c r="C350" s="182" t="s">
        <v>145</v>
      </c>
      <c r="D350" s="22">
        <v>189</v>
      </c>
      <c r="E350" s="194"/>
      <c r="F350" s="195"/>
      <c r="G350" s="196"/>
    </row>
    <row r="351" spans="3:7" ht="12.75" customHeight="1" hidden="1" outlineLevel="1" thickBot="1" thickTop="1">
      <c r="C351" s="182" t="s">
        <v>145</v>
      </c>
      <c r="D351" s="22">
        <v>190</v>
      </c>
      <c r="E351" s="194"/>
      <c r="F351" s="195"/>
      <c r="G351" s="196"/>
    </row>
    <row r="352" spans="3:7" ht="14.25" hidden="1" outlineLevel="1" thickBot="1" thickTop="1">
      <c r="C352" s="182" t="s">
        <v>145</v>
      </c>
      <c r="D352" s="22">
        <v>191</v>
      </c>
      <c r="E352" s="194"/>
      <c r="F352" s="195"/>
      <c r="G352" s="196"/>
    </row>
    <row r="353" spans="3:7" ht="14.25" hidden="1" outlineLevel="1" thickBot="1" thickTop="1">
      <c r="C353" s="182" t="s">
        <v>145</v>
      </c>
      <c r="D353" s="22">
        <v>192</v>
      </c>
      <c r="E353" s="194"/>
      <c r="F353" s="195"/>
      <c r="G353" s="196"/>
    </row>
    <row r="354" spans="3:7" ht="14.25" hidden="1" outlineLevel="1" thickBot="1" thickTop="1">
      <c r="C354" s="182" t="s">
        <v>145</v>
      </c>
      <c r="D354" s="22">
        <v>193</v>
      </c>
      <c r="E354" s="194"/>
      <c r="F354" s="195"/>
      <c r="G354" s="196"/>
    </row>
    <row r="355" spans="3:7" ht="14.25" hidden="1" outlineLevel="1" thickBot="1" thickTop="1">
      <c r="C355" s="182" t="s">
        <v>145</v>
      </c>
      <c r="D355" s="22">
        <v>194</v>
      </c>
      <c r="E355" s="194"/>
      <c r="F355" s="195"/>
      <c r="G355" s="196"/>
    </row>
    <row r="356" spans="3:7" ht="14.25" hidden="1" outlineLevel="1" thickBot="1" thickTop="1">
      <c r="C356" s="182" t="s">
        <v>145</v>
      </c>
      <c r="D356" s="22">
        <v>195</v>
      </c>
      <c r="E356" s="194"/>
      <c r="F356" s="195"/>
      <c r="G356" s="196"/>
    </row>
    <row r="357" spans="3:7" ht="14.25" hidden="1" outlineLevel="1" thickBot="1" thickTop="1">
      <c r="C357" s="182" t="s">
        <v>145</v>
      </c>
      <c r="D357" s="22">
        <v>196</v>
      </c>
      <c r="E357" s="194"/>
      <c r="F357" s="195"/>
      <c r="G357" s="196"/>
    </row>
    <row r="358" spans="3:7" ht="14.25" hidden="1" outlineLevel="1" thickBot="1" thickTop="1">
      <c r="C358" s="182" t="s">
        <v>145</v>
      </c>
      <c r="D358" s="22">
        <v>197</v>
      </c>
      <c r="E358" s="194"/>
      <c r="F358" s="195"/>
      <c r="G358" s="196"/>
    </row>
    <row r="359" spans="3:7" ht="14.25" hidden="1" outlineLevel="1" thickBot="1" thickTop="1">
      <c r="C359" s="182" t="s">
        <v>145</v>
      </c>
      <c r="D359" s="22">
        <v>198</v>
      </c>
      <c r="E359" s="194"/>
      <c r="F359" s="195"/>
      <c r="G359" s="196"/>
    </row>
    <row r="360" spans="3:7" ht="14.25" hidden="1" outlineLevel="1" thickBot="1" thickTop="1">
      <c r="C360" s="182" t="s">
        <v>145</v>
      </c>
      <c r="D360" s="22">
        <v>199</v>
      </c>
      <c r="E360" s="194"/>
      <c r="F360" s="195"/>
      <c r="G360" s="196"/>
    </row>
    <row r="361" spans="3:7" ht="14.25" hidden="1" outlineLevel="1" thickBot="1" thickTop="1">
      <c r="C361" s="182" t="s">
        <v>145</v>
      </c>
      <c r="D361" s="22">
        <v>200</v>
      </c>
      <c r="E361" s="194"/>
      <c r="F361" s="195"/>
      <c r="G361" s="196"/>
    </row>
    <row r="362" spans="3:7" ht="14.25" hidden="1" outlineLevel="1" thickBot="1" thickTop="1">
      <c r="C362" s="182" t="s">
        <v>145</v>
      </c>
      <c r="D362" s="22">
        <v>201</v>
      </c>
      <c r="E362" s="194"/>
      <c r="F362" s="195"/>
      <c r="G362" s="196"/>
    </row>
    <row r="363" spans="3:7" ht="14.25" hidden="1" outlineLevel="1" thickBot="1" thickTop="1">
      <c r="C363" s="182" t="s">
        <v>145</v>
      </c>
      <c r="D363" s="22">
        <v>202</v>
      </c>
      <c r="E363" s="194"/>
      <c r="F363" s="195"/>
      <c r="G363" s="196"/>
    </row>
    <row r="364" spans="3:7" ht="14.25" hidden="1" outlineLevel="1" thickBot="1" thickTop="1">
      <c r="C364" s="182" t="s">
        <v>145</v>
      </c>
      <c r="D364" s="22">
        <v>203</v>
      </c>
      <c r="E364" s="194"/>
      <c r="F364" s="195"/>
      <c r="G364" s="196"/>
    </row>
    <row r="365" spans="3:7" ht="14.25" hidden="1" outlineLevel="1" thickBot="1" thickTop="1">
      <c r="C365" s="182" t="s">
        <v>145</v>
      </c>
      <c r="D365" s="22">
        <v>204</v>
      </c>
      <c r="E365" s="194"/>
      <c r="F365" s="195"/>
      <c r="G365" s="196"/>
    </row>
    <row r="366" spans="3:7" ht="14.25" hidden="1" outlineLevel="1" thickBot="1" thickTop="1">
      <c r="C366" s="182" t="s">
        <v>145</v>
      </c>
      <c r="D366" s="22">
        <v>205</v>
      </c>
      <c r="E366" s="194"/>
      <c r="F366" s="195"/>
      <c r="G366" s="196"/>
    </row>
    <row r="367" spans="3:7" ht="14.25" hidden="1" outlineLevel="1" thickBot="1" thickTop="1">
      <c r="C367" s="182" t="s">
        <v>145</v>
      </c>
      <c r="D367" s="22">
        <v>206</v>
      </c>
      <c r="E367" s="194"/>
      <c r="F367" s="195"/>
      <c r="G367" s="196"/>
    </row>
    <row r="368" spans="3:7" ht="14.25" hidden="1" outlineLevel="1" thickBot="1" thickTop="1">
      <c r="C368" s="182" t="s">
        <v>145</v>
      </c>
      <c r="D368" s="22">
        <v>207</v>
      </c>
      <c r="E368" s="194"/>
      <c r="F368" s="195"/>
      <c r="G368" s="196"/>
    </row>
    <row r="369" spans="3:7" ht="14.25" hidden="1" outlineLevel="1" thickBot="1" thickTop="1">
      <c r="C369" s="182" t="s">
        <v>145</v>
      </c>
      <c r="D369" s="22">
        <v>208</v>
      </c>
      <c r="E369" s="194"/>
      <c r="F369" s="195"/>
      <c r="G369" s="196"/>
    </row>
    <row r="370" spans="3:7" ht="14.25" hidden="1" outlineLevel="1" thickBot="1" thickTop="1">
      <c r="C370" s="182" t="s">
        <v>145</v>
      </c>
      <c r="D370" s="22">
        <v>209</v>
      </c>
      <c r="E370" s="194"/>
      <c r="F370" s="195"/>
      <c r="G370" s="196"/>
    </row>
    <row r="371" spans="3:7" ht="14.25" hidden="1" outlineLevel="1" thickBot="1" thickTop="1">
      <c r="C371" s="182" t="s">
        <v>145</v>
      </c>
      <c r="D371" s="22">
        <v>210</v>
      </c>
      <c r="E371" s="194"/>
      <c r="F371" s="195"/>
      <c r="G371" s="196"/>
    </row>
    <row r="372" spans="3:7" ht="14.25" hidden="1" outlineLevel="1" thickBot="1" thickTop="1">
      <c r="C372" s="182" t="s">
        <v>145</v>
      </c>
      <c r="D372" s="22">
        <v>211</v>
      </c>
      <c r="E372" s="194"/>
      <c r="F372" s="195"/>
      <c r="G372" s="196"/>
    </row>
    <row r="373" spans="3:7" ht="14.25" hidden="1" outlineLevel="1" thickBot="1" thickTop="1">
      <c r="C373" s="182" t="s">
        <v>145</v>
      </c>
      <c r="D373" s="22">
        <v>212</v>
      </c>
      <c r="E373" s="194"/>
      <c r="F373" s="195"/>
      <c r="G373" s="196"/>
    </row>
    <row r="374" spans="3:7" ht="14.25" hidden="1" outlineLevel="1" thickBot="1" thickTop="1">
      <c r="C374" s="182" t="s">
        <v>145</v>
      </c>
      <c r="D374" s="22">
        <v>213</v>
      </c>
      <c r="E374" s="194"/>
      <c r="F374" s="195"/>
      <c r="G374" s="196"/>
    </row>
    <row r="375" spans="3:7" ht="14.25" hidden="1" outlineLevel="1" thickBot="1" thickTop="1">
      <c r="C375" s="182" t="s">
        <v>145</v>
      </c>
      <c r="D375" s="22">
        <v>214</v>
      </c>
      <c r="E375" s="194"/>
      <c r="F375" s="195"/>
      <c r="G375" s="196"/>
    </row>
    <row r="376" spans="3:7" ht="14.25" hidden="1" outlineLevel="1" thickBot="1" thickTop="1">
      <c r="C376" s="182" t="s">
        <v>145</v>
      </c>
      <c r="D376" s="22">
        <v>215</v>
      </c>
      <c r="E376" s="194"/>
      <c r="F376" s="195"/>
      <c r="G376" s="196"/>
    </row>
    <row r="377" spans="3:7" ht="14.25" hidden="1" outlineLevel="1" thickBot="1" thickTop="1">
      <c r="C377" s="182" t="s">
        <v>145</v>
      </c>
      <c r="D377" s="22">
        <v>216</v>
      </c>
      <c r="E377" s="194"/>
      <c r="F377" s="195"/>
      <c r="G377" s="196"/>
    </row>
    <row r="378" spans="3:7" ht="14.25" hidden="1" outlineLevel="1" thickBot="1" thickTop="1">
      <c r="C378" s="182" t="s">
        <v>145</v>
      </c>
      <c r="D378" s="22">
        <v>217</v>
      </c>
      <c r="E378" s="194"/>
      <c r="F378" s="195"/>
      <c r="G378" s="196"/>
    </row>
    <row r="379" spans="3:7" ht="14.25" hidden="1" outlineLevel="1" thickBot="1" thickTop="1">
      <c r="C379" s="182" t="s">
        <v>145</v>
      </c>
      <c r="D379" s="22">
        <v>218</v>
      </c>
      <c r="E379" s="194"/>
      <c r="F379" s="195"/>
      <c r="G379" s="196"/>
    </row>
    <row r="380" spans="3:7" ht="14.25" hidden="1" outlineLevel="1" thickBot="1" thickTop="1">
      <c r="C380" s="182" t="s">
        <v>145</v>
      </c>
      <c r="D380" s="22">
        <v>219</v>
      </c>
      <c r="E380" s="194"/>
      <c r="F380" s="195"/>
      <c r="G380" s="196"/>
    </row>
    <row r="381" spans="3:7" ht="14.25" hidden="1" outlineLevel="1" thickBot="1" thickTop="1">
      <c r="C381" s="182" t="s">
        <v>145</v>
      </c>
      <c r="D381" s="22">
        <v>220</v>
      </c>
      <c r="E381" s="194"/>
      <c r="F381" s="195"/>
      <c r="G381" s="196"/>
    </row>
    <row r="382" spans="3:7" ht="14.25" hidden="1" outlineLevel="1" thickBot="1" thickTop="1">
      <c r="C382" s="182" t="s">
        <v>145</v>
      </c>
      <c r="D382" s="22">
        <v>221</v>
      </c>
      <c r="E382" s="194"/>
      <c r="F382" s="195"/>
      <c r="G382" s="196"/>
    </row>
    <row r="383" spans="3:7" ht="14.25" hidden="1" outlineLevel="1" thickBot="1" thickTop="1">
      <c r="C383" s="182" t="s">
        <v>145</v>
      </c>
      <c r="D383" s="22">
        <v>222</v>
      </c>
      <c r="E383" s="194"/>
      <c r="F383" s="195"/>
      <c r="G383" s="196"/>
    </row>
    <row r="384" spans="3:7" ht="14.25" hidden="1" outlineLevel="1" thickBot="1" thickTop="1">
      <c r="C384" s="182" t="s">
        <v>145</v>
      </c>
      <c r="D384" s="22">
        <v>223</v>
      </c>
      <c r="E384" s="194"/>
      <c r="F384" s="195"/>
      <c r="G384" s="196"/>
    </row>
    <row r="385" spans="3:7" ht="14.25" hidden="1" outlineLevel="1" thickBot="1" thickTop="1">
      <c r="C385" s="182" t="s">
        <v>145</v>
      </c>
      <c r="D385" s="22">
        <v>224</v>
      </c>
      <c r="E385" s="194"/>
      <c r="F385" s="195"/>
      <c r="G385" s="196"/>
    </row>
    <row r="386" spans="3:7" ht="14.25" hidden="1" outlineLevel="1" thickBot="1" thickTop="1">
      <c r="C386" s="182" t="s">
        <v>145</v>
      </c>
      <c r="D386" s="22">
        <v>225</v>
      </c>
      <c r="E386" s="194"/>
      <c r="F386" s="195"/>
      <c r="G386" s="196"/>
    </row>
    <row r="387" spans="3:7" ht="14.25" hidden="1" outlineLevel="1" thickBot="1" thickTop="1">
      <c r="C387" s="182" t="s">
        <v>145</v>
      </c>
      <c r="D387" s="22">
        <v>226</v>
      </c>
      <c r="E387" s="194"/>
      <c r="F387" s="195"/>
      <c r="G387" s="196"/>
    </row>
    <row r="388" spans="3:7" ht="14.25" hidden="1" outlineLevel="1" thickBot="1" thickTop="1">
      <c r="C388" s="182" t="s">
        <v>145</v>
      </c>
      <c r="D388" s="22">
        <v>227</v>
      </c>
      <c r="E388" s="194"/>
      <c r="F388" s="195"/>
      <c r="G388" s="196"/>
    </row>
    <row r="389" spans="3:7" ht="14.25" hidden="1" outlineLevel="1" thickBot="1" thickTop="1">
      <c r="C389" s="182" t="s">
        <v>145</v>
      </c>
      <c r="D389" s="22">
        <v>228</v>
      </c>
      <c r="E389" s="194"/>
      <c r="F389" s="195"/>
      <c r="G389" s="196"/>
    </row>
    <row r="390" spans="3:7" ht="14.25" hidden="1" outlineLevel="1" thickBot="1" thickTop="1">
      <c r="C390" s="182" t="s">
        <v>145</v>
      </c>
      <c r="D390" s="22">
        <v>229</v>
      </c>
      <c r="E390" s="194"/>
      <c r="F390" s="195"/>
      <c r="G390" s="196"/>
    </row>
    <row r="391" spans="3:7" ht="14.25" hidden="1" outlineLevel="1" thickBot="1" thickTop="1">
      <c r="C391" s="182" t="s">
        <v>145</v>
      </c>
      <c r="D391" s="22">
        <v>230</v>
      </c>
      <c r="E391" s="194"/>
      <c r="F391" s="195"/>
      <c r="G391" s="196"/>
    </row>
    <row r="392" spans="3:7" ht="14.25" collapsed="1" thickBot="1" thickTop="1">
      <c r="C392" s="225" t="s">
        <v>145</v>
      </c>
      <c r="D392" s="226">
        <v>231</v>
      </c>
      <c r="E392" s="227"/>
      <c r="F392" s="228"/>
      <c r="G392" s="229"/>
    </row>
    <row r="393" spans="3:7" ht="14.25" thickBot="1" thickTop="1">
      <c r="C393" s="225" t="s">
        <v>145</v>
      </c>
      <c r="D393" s="226">
        <v>232</v>
      </c>
      <c r="E393" s="227"/>
      <c r="F393" s="228"/>
      <c r="G393" s="229"/>
    </row>
    <row r="394" spans="3:7" ht="14.25" thickBot="1" thickTop="1">
      <c r="C394" s="225" t="s">
        <v>145</v>
      </c>
      <c r="D394" s="226">
        <v>233</v>
      </c>
      <c r="E394" s="227"/>
      <c r="F394" s="228"/>
      <c r="G394" s="229"/>
    </row>
    <row r="395" spans="3:7" ht="14.25" thickBot="1" thickTop="1">
      <c r="C395" s="225" t="s">
        <v>145</v>
      </c>
      <c r="D395" s="226">
        <v>234</v>
      </c>
      <c r="E395" s="227"/>
      <c r="F395" s="228"/>
      <c r="G395" s="229"/>
    </row>
    <row r="396" spans="3:7" ht="14.25" thickBot="1" thickTop="1">
      <c r="C396" s="225" t="s">
        <v>145</v>
      </c>
      <c r="D396" s="226">
        <v>235</v>
      </c>
      <c r="E396" s="227"/>
      <c r="F396" s="228"/>
      <c r="G396" s="229"/>
    </row>
    <row r="397" spans="3:7" ht="14.25" thickBot="1" thickTop="1">
      <c r="C397" s="225" t="s">
        <v>145</v>
      </c>
      <c r="D397" s="226">
        <v>236</v>
      </c>
      <c r="E397" s="227"/>
      <c r="F397" s="228"/>
      <c r="G397" s="229"/>
    </row>
    <row r="398" spans="3:7" ht="14.25" thickBot="1" thickTop="1">
      <c r="C398" s="225" t="s">
        <v>145</v>
      </c>
      <c r="D398" s="226">
        <v>237</v>
      </c>
      <c r="E398" s="227"/>
      <c r="F398" s="228"/>
      <c r="G398" s="229"/>
    </row>
    <row r="399" spans="3:7" ht="14.25" thickBot="1" thickTop="1">
      <c r="C399" s="225" t="s">
        <v>145</v>
      </c>
      <c r="D399" s="226">
        <v>238</v>
      </c>
      <c r="E399" s="227"/>
      <c r="F399" s="228"/>
      <c r="G399" s="229"/>
    </row>
    <row r="400" spans="3:7" ht="14.25" thickBot="1" thickTop="1">
      <c r="C400" s="225" t="s">
        <v>145</v>
      </c>
      <c r="D400" s="226">
        <v>239</v>
      </c>
      <c r="E400" s="227"/>
      <c r="F400" s="228"/>
      <c r="G400" s="229"/>
    </row>
    <row r="401" spans="3:7" ht="13.5" thickTop="1">
      <c r="C401" s="225" t="s">
        <v>145</v>
      </c>
      <c r="D401" s="226">
        <v>240</v>
      </c>
      <c r="E401" s="227"/>
      <c r="F401" s="228"/>
      <c r="G401" s="229"/>
    </row>
    <row r="437" ht="12" customHeight="1"/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K331"/>
  <sheetViews>
    <sheetView workbookViewId="0" topLeftCell="A1">
      <selection activeCell="A1" sqref="A1"/>
    </sheetView>
  </sheetViews>
  <sheetFormatPr defaultColWidth="9.140625" defaultRowHeight="12.75"/>
  <cols>
    <col min="2" max="2" width="8.140625" style="0" customWidth="1"/>
    <col min="3" max="4" width="11.28125" style="0" customWidth="1"/>
    <col min="5" max="5" width="14.28125" style="0" bestFit="1" customWidth="1"/>
    <col min="7" max="7" width="9.57421875" style="0" customWidth="1"/>
    <col min="8" max="8" width="9.28125" style="0" bestFit="1" customWidth="1"/>
    <col min="9" max="9" width="13.421875" style="0" bestFit="1" customWidth="1"/>
    <col min="11" max="11" width="11.00390625" style="0" bestFit="1" customWidth="1"/>
    <col min="13" max="13" width="11.28125" style="0" bestFit="1" customWidth="1"/>
    <col min="28" max="28" width="11.7109375" style="0" bestFit="1" customWidth="1"/>
  </cols>
  <sheetData>
    <row r="1" ht="12.75">
      <c r="A1" t="s">
        <v>99</v>
      </c>
    </row>
    <row r="2" ht="12.75">
      <c r="A2" s="99" t="s">
        <v>98</v>
      </c>
    </row>
    <row r="3" ht="13.5" thickBot="1"/>
    <row r="4" spans="6:13" ht="13.5" thickTop="1">
      <c r="F4" s="5" t="s">
        <v>12</v>
      </c>
      <c r="G4" s="6" t="s">
        <v>12</v>
      </c>
      <c r="I4" s="18" t="s">
        <v>15</v>
      </c>
      <c r="K4" s="30" t="s">
        <v>18</v>
      </c>
      <c r="M4" s="41"/>
    </row>
    <row r="5" spans="1:13" ht="13.5" thickBot="1">
      <c r="A5" s="1" t="s">
        <v>3</v>
      </c>
      <c r="F5" s="7" t="s">
        <v>9</v>
      </c>
      <c r="G5" s="8" t="s">
        <v>9</v>
      </c>
      <c r="I5" s="19" t="s">
        <v>16</v>
      </c>
      <c r="K5" s="31" t="s">
        <v>13</v>
      </c>
      <c r="M5" s="19" t="s">
        <v>26</v>
      </c>
    </row>
    <row r="6" spans="2:13" ht="14.25" thickBot="1" thickTop="1">
      <c r="B6" s="5"/>
      <c r="C6" s="11" t="s">
        <v>5</v>
      </c>
      <c r="D6" s="12"/>
      <c r="F6" s="7" t="s">
        <v>11</v>
      </c>
      <c r="G6" s="8" t="s">
        <v>10</v>
      </c>
      <c r="I6" s="19" t="s">
        <v>17</v>
      </c>
      <c r="K6" s="32" t="s">
        <v>14</v>
      </c>
      <c r="M6" s="20" t="s">
        <v>27</v>
      </c>
    </row>
    <row r="7" spans="2:13" ht="14.25" thickBot="1" thickTop="1">
      <c r="B7" s="9" t="s">
        <v>4</v>
      </c>
      <c r="C7" s="13" t="s">
        <v>6</v>
      </c>
      <c r="D7" s="14" t="s">
        <v>8</v>
      </c>
      <c r="F7" s="9" t="s">
        <v>6</v>
      </c>
      <c r="G7" s="10" t="s">
        <v>6</v>
      </c>
      <c r="I7" s="34">
        <v>0.1</v>
      </c>
      <c r="K7" s="33">
        <f>IRR(C7:C14)</f>
        <v>0.17802619965351502</v>
      </c>
      <c r="M7" s="42">
        <f>(I8-C8)/ABS(C8)</f>
        <v>1.2321290230129984</v>
      </c>
    </row>
    <row r="8" spans="2:9" ht="14.25" thickBot="1" thickTop="1">
      <c r="B8" s="18">
        <v>0</v>
      </c>
      <c r="C8" s="23">
        <v>-58000</v>
      </c>
      <c r="D8" s="15">
        <f>C8</f>
        <v>-58000</v>
      </c>
      <c r="F8" s="22"/>
      <c r="G8" s="22"/>
      <c r="I8" s="28">
        <f>C8+NPV(I7,C9:C14)</f>
        <v>13463.48333475391</v>
      </c>
    </row>
    <row r="9" spans="2:14" ht="13.5" thickTop="1">
      <c r="B9" s="19">
        <v>1</v>
      </c>
      <c r="C9" s="24">
        <v>12000</v>
      </c>
      <c r="D9" s="16">
        <f aca="true" t="shared" si="0" ref="D9:D14">D8+C9</f>
        <v>-46000</v>
      </c>
      <c r="E9" t="str">
        <f aca="true" t="shared" si="1" ref="E9:E14">IF(AND($D8&lt;0,$D9&gt;=0),"Payback Period"," ")</f>
        <v> </v>
      </c>
      <c r="F9" s="22" t="str">
        <f aca="true" t="shared" si="2" ref="F9:F14">IF(AND($D8&lt;0,$D9&gt;=0),$B9," ")</f>
        <v> </v>
      </c>
      <c r="G9" s="21" t="str">
        <f aca="true" t="shared" si="3" ref="G9:G14">IF(AND($D8&lt;0,$D9&gt;=0),$B8+ABS(D8)/C9," ")</f>
        <v> </v>
      </c>
      <c r="I9" s="27" t="s">
        <v>7</v>
      </c>
      <c r="K9" s="3" t="s">
        <v>7</v>
      </c>
      <c r="M9" s="3">
        <f>I8-C8</f>
        <v>71463.48333475391</v>
      </c>
      <c r="N9" s="40" t="s">
        <v>28</v>
      </c>
    </row>
    <row r="10" spans="2:14" ht="12.75">
      <c r="B10" s="19">
        <v>2</v>
      </c>
      <c r="C10" s="24">
        <v>18000</v>
      </c>
      <c r="D10" s="16">
        <f t="shared" si="0"/>
        <v>-28000</v>
      </c>
      <c r="E10" t="str">
        <f t="shared" si="1"/>
        <v> </v>
      </c>
      <c r="F10" s="22" t="str">
        <f t="shared" si="2"/>
        <v> </v>
      </c>
      <c r="G10" s="21" t="str">
        <f t="shared" si="3"/>
        <v> </v>
      </c>
      <c r="I10" s="27" t="s">
        <v>7</v>
      </c>
      <c r="M10" s="3">
        <f>C8</f>
        <v>-58000</v>
      </c>
      <c r="N10" s="40" t="s">
        <v>29</v>
      </c>
    </row>
    <row r="11" spans="2:14" ht="12.75">
      <c r="B11" s="19">
        <v>3</v>
      </c>
      <c r="C11" s="24">
        <v>22000</v>
      </c>
      <c r="D11" s="16">
        <f t="shared" si="0"/>
        <v>-6000</v>
      </c>
      <c r="E11" t="str">
        <f t="shared" si="1"/>
        <v> </v>
      </c>
      <c r="F11" s="22" t="str">
        <f t="shared" si="2"/>
        <v> </v>
      </c>
      <c r="G11" s="21" t="str">
        <f t="shared" si="3"/>
        <v> </v>
      </c>
      <c r="M11" s="4">
        <f>M9/ABS(M10)</f>
        <v>1.2321290230129984</v>
      </c>
      <c r="N11" s="40" t="s">
        <v>30</v>
      </c>
    </row>
    <row r="12" spans="2:7" ht="12.75">
      <c r="B12" s="19">
        <v>4</v>
      </c>
      <c r="C12" s="24">
        <v>24000</v>
      </c>
      <c r="D12" s="16">
        <f t="shared" si="0"/>
        <v>18000</v>
      </c>
      <c r="E12" t="str">
        <f t="shared" si="1"/>
        <v>Payback Period</v>
      </c>
      <c r="F12" s="26">
        <f>IF(AND($D11&lt;0,$D12&gt;=0),$B12," ")</f>
        <v>4</v>
      </c>
      <c r="G12" s="26">
        <f>IF(AND($D11&lt;0,$D12&gt;=0),$B11+ABS(D11)/C12," ")</f>
        <v>3.25</v>
      </c>
    </row>
    <row r="13" spans="2:7" ht="12.75">
      <c r="B13" s="19">
        <v>5</v>
      </c>
      <c r="C13" s="24">
        <v>16000</v>
      </c>
      <c r="D13" s="16">
        <f t="shared" si="0"/>
        <v>34000</v>
      </c>
      <c r="E13" t="str">
        <f t="shared" si="1"/>
        <v> </v>
      </c>
      <c r="F13" s="22" t="str">
        <f t="shared" si="2"/>
        <v> </v>
      </c>
      <c r="G13" s="21" t="str">
        <f t="shared" si="3"/>
        <v> </v>
      </c>
    </row>
    <row r="14" spans="2:7" ht="13.5" thickBot="1">
      <c r="B14" s="20">
        <v>6</v>
      </c>
      <c r="C14" s="25">
        <v>5000</v>
      </c>
      <c r="D14" s="17">
        <f t="shared" si="0"/>
        <v>39000</v>
      </c>
      <c r="E14" t="str">
        <f t="shared" si="1"/>
        <v> </v>
      </c>
      <c r="F14" s="22" t="str">
        <f t="shared" si="2"/>
        <v> </v>
      </c>
      <c r="G14" s="21" t="str">
        <f t="shared" si="3"/>
        <v> </v>
      </c>
    </row>
    <row r="15" ht="13.5" thickTop="1">
      <c r="C15" s="3" t="s">
        <v>7</v>
      </c>
    </row>
    <row r="18" ht="13.5" thickBot="1"/>
    <row r="19" spans="1:13" ht="14.25" thickBot="1" thickTop="1">
      <c r="A19" s="1" t="s">
        <v>19</v>
      </c>
      <c r="F19" s="5" t="s">
        <v>12</v>
      </c>
      <c r="G19" s="6" t="s">
        <v>12</v>
      </c>
      <c r="I19" s="18" t="s">
        <v>15</v>
      </c>
      <c r="K19" s="30" t="s">
        <v>18</v>
      </c>
      <c r="M19" s="41"/>
    </row>
    <row r="20" spans="2:13" ht="13.5" thickTop="1">
      <c r="B20" s="5"/>
      <c r="C20" s="11" t="s">
        <v>5</v>
      </c>
      <c r="D20" s="12"/>
      <c r="F20" s="7" t="s">
        <v>9</v>
      </c>
      <c r="G20" s="8" t="s">
        <v>9</v>
      </c>
      <c r="I20" s="19" t="s">
        <v>16</v>
      </c>
      <c r="K20" s="31" t="s">
        <v>13</v>
      </c>
      <c r="M20" s="19" t="s">
        <v>26</v>
      </c>
    </row>
    <row r="21" spans="2:13" ht="13.5" thickBot="1">
      <c r="B21" s="9" t="s">
        <v>4</v>
      </c>
      <c r="C21" s="13" t="s">
        <v>6</v>
      </c>
      <c r="D21" s="14" t="s">
        <v>8</v>
      </c>
      <c r="F21" s="7" t="s">
        <v>11</v>
      </c>
      <c r="G21" s="8" t="s">
        <v>10</v>
      </c>
      <c r="I21" s="19" t="s">
        <v>17</v>
      </c>
      <c r="K21" s="32" t="s">
        <v>14</v>
      </c>
      <c r="M21" s="20" t="s">
        <v>27</v>
      </c>
    </row>
    <row r="22" spans="2:13" ht="14.25" thickBot="1" thickTop="1">
      <c r="B22" s="18">
        <v>0</v>
      </c>
      <c r="C22" s="23">
        <v>-2400000</v>
      </c>
      <c r="D22" s="15">
        <f>C22</f>
        <v>-2400000</v>
      </c>
      <c r="F22" s="9" t="s">
        <v>6</v>
      </c>
      <c r="G22" s="10" t="s">
        <v>6</v>
      </c>
      <c r="I22" s="34">
        <v>0.14</v>
      </c>
      <c r="K22" s="33">
        <f>IRR(C22:C29)</f>
        <v>0.17379794113683164</v>
      </c>
      <c r="M22" s="43">
        <f>(I23-C22)/ABS(C22)</f>
        <v>1.1050462888768078</v>
      </c>
    </row>
    <row r="23" spans="2:9" ht="14.25" thickBot="1" thickTop="1">
      <c r="B23" s="19">
        <v>1</v>
      </c>
      <c r="C23" s="24">
        <v>600000</v>
      </c>
      <c r="D23" s="16">
        <f aca="true" t="shared" si="4" ref="D23:D28">D22+C23</f>
        <v>-1800000</v>
      </c>
      <c r="E23" t="str">
        <f aca="true" t="shared" si="5" ref="E23:E28">IF(AND($D22&lt;0,$D23&gt;=0),"Payback Period"," ")</f>
        <v> </v>
      </c>
      <c r="F23" s="22"/>
      <c r="G23" s="22"/>
      <c r="I23" s="28">
        <f>C22+NPV(I22,C23:C29)</f>
        <v>252111.09330433886</v>
      </c>
    </row>
    <row r="24" spans="2:14" ht="13.5" thickTop="1">
      <c r="B24" s="19">
        <v>2</v>
      </c>
      <c r="C24" s="24">
        <v>600000</v>
      </c>
      <c r="D24" s="16">
        <f t="shared" si="4"/>
        <v>-1200000</v>
      </c>
      <c r="E24" t="str">
        <f t="shared" si="5"/>
        <v> </v>
      </c>
      <c r="F24" s="22" t="str">
        <f aca="true" t="shared" si="6" ref="F24:F29">IF(AND($D23&lt;0,$D24&gt;=0),$B24," ")</f>
        <v> </v>
      </c>
      <c r="G24" s="21" t="str">
        <f aca="true" t="shared" si="7" ref="G24:G29">IF(AND($D23&lt;0,$D24&gt;=0),$B23+ABS(D23)/C24," ")</f>
        <v> </v>
      </c>
      <c r="M24" s="3">
        <f>I23-C22</f>
        <v>2652111.093304339</v>
      </c>
      <c r="N24" s="40" t="s">
        <v>28</v>
      </c>
    </row>
    <row r="25" spans="2:14" ht="12.75">
      <c r="B25" s="19">
        <v>3</v>
      </c>
      <c r="C25" s="24">
        <v>600000</v>
      </c>
      <c r="D25" s="16">
        <f t="shared" si="4"/>
        <v>-600000</v>
      </c>
      <c r="E25" t="str">
        <f t="shared" si="5"/>
        <v> </v>
      </c>
      <c r="F25" s="22" t="str">
        <f t="shared" si="6"/>
        <v> </v>
      </c>
      <c r="G25" s="21" t="str">
        <f t="shared" si="7"/>
        <v> </v>
      </c>
      <c r="I25" s="2" t="s">
        <v>20</v>
      </c>
      <c r="M25" s="3">
        <f>C22</f>
        <v>-2400000</v>
      </c>
      <c r="N25" s="40" t="s">
        <v>29</v>
      </c>
    </row>
    <row r="26" spans="2:14" ht="12.75">
      <c r="B26" s="19">
        <v>4</v>
      </c>
      <c r="C26" s="24">
        <v>600000</v>
      </c>
      <c r="D26" s="16">
        <f t="shared" si="4"/>
        <v>0</v>
      </c>
      <c r="E26" t="str">
        <f>IF(AND($D25&lt;0,$D26&gt;=0),"Payback Period"," ")</f>
        <v>Payback Period</v>
      </c>
      <c r="F26" s="22">
        <f t="shared" si="6"/>
        <v>4</v>
      </c>
      <c r="G26" s="21">
        <f t="shared" si="7"/>
        <v>4</v>
      </c>
      <c r="I26" s="35">
        <f>I22</f>
        <v>0.14</v>
      </c>
      <c r="M26" s="4">
        <f>M24/ABS(M25)</f>
        <v>1.1050462888768078</v>
      </c>
      <c r="N26" s="40" t="s">
        <v>30</v>
      </c>
    </row>
    <row r="27" spans="2:9" ht="12.75">
      <c r="B27" s="19">
        <v>5</v>
      </c>
      <c r="C27" s="24">
        <v>600000</v>
      </c>
      <c r="D27" s="16">
        <f t="shared" si="4"/>
        <v>600000</v>
      </c>
      <c r="E27" t="str">
        <f t="shared" si="5"/>
        <v> </v>
      </c>
      <c r="F27" s="26" t="str">
        <f t="shared" si="6"/>
        <v> </v>
      </c>
      <c r="G27" s="26" t="str">
        <f t="shared" si="7"/>
        <v> </v>
      </c>
      <c r="I27" s="35">
        <f>I22</f>
        <v>0.14</v>
      </c>
    </row>
    <row r="28" spans="2:9" ht="13.5" thickBot="1">
      <c r="B28" s="20">
        <v>6</v>
      </c>
      <c r="C28" s="25">
        <v>1300000</v>
      </c>
      <c r="D28" s="17">
        <f t="shared" si="4"/>
        <v>1900000</v>
      </c>
      <c r="E28" t="str">
        <f t="shared" si="5"/>
        <v> </v>
      </c>
      <c r="F28" s="22" t="str">
        <f t="shared" si="6"/>
        <v> </v>
      </c>
      <c r="G28" s="21" t="str">
        <f t="shared" si="7"/>
        <v> </v>
      </c>
      <c r="H28" s="36" t="s">
        <v>21</v>
      </c>
      <c r="I28" s="37">
        <f>PV(I26,5,-C23)</f>
        <v>2059848.5813150771</v>
      </c>
    </row>
    <row r="29" spans="6:9" ht="14.25" thickBot="1" thickTop="1">
      <c r="F29" s="22" t="str">
        <f t="shared" si="6"/>
        <v> </v>
      </c>
      <c r="G29" s="21" t="str">
        <f t="shared" si="7"/>
        <v> </v>
      </c>
      <c r="H29" s="36" t="s">
        <v>36</v>
      </c>
      <c r="I29" s="38">
        <f>PV(I27,6,,-1300000)</f>
        <v>592262.5119892629</v>
      </c>
    </row>
    <row r="30" spans="8:9" ht="13.5" thickTop="1">
      <c r="H30" s="36" t="s">
        <v>24</v>
      </c>
      <c r="I30" s="37">
        <f>I28+I29</f>
        <v>2652111.09330434</v>
      </c>
    </row>
    <row r="31" spans="8:9" ht="13.5" thickBot="1">
      <c r="H31" s="36" t="s">
        <v>22</v>
      </c>
      <c r="I31" s="37">
        <f>C22</f>
        <v>-2400000</v>
      </c>
    </row>
    <row r="32" spans="8:9" ht="14.25" thickBot="1" thickTop="1">
      <c r="H32" s="36" t="s">
        <v>23</v>
      </c>
      <c r="I32" s="39">
        <f>I30+I31</f>
        <v>252111.0933043398</v>
      </c>
    </row>
    <row r="33" spans="1:17" ht="13.5" thickTop="1">
      <c r="A33" s="44"/>
      <c r="B33" s="44"/>
      <c r="C33" s="44"/>
      <c r="D33" s="44"/>
      <c r="E33" s="44"/>
      <c r="F33" s="44"/>
      <c r="G33" s="44"/>
      <c r="H33" s="45"/>
      <c r="I33" s="46"/>
      <c r="J33" s="44"/>
      <c r="K33" s="44"/>
      <c r="L33" s="44"/>
      <c r="M33" s="44"/>
      <c r="N33" s="44"/>
      <c r="O33" s="44"/>
      <c r="P33" s="44"/>
      <c r="Q33" s="44"/>
    </row>
    <row r="34" ht="13.5" thickBot="1"/>
    <row r="35" spans="1:13" ht="14.25" thickBot="1" thickTop="1">
      <c r="A35" s="1" t="s">
        <v>31</v>
      </c>
      <c r="F35" s="5" t="s">
        <v>12</v>
      </c>
      <c r="G35" s="6" t="s">
        <v>12</v>
      </c>
      <c r="I35" s="18" t="s">
        <v>15</v>
      </c>
      <c r="K35" s="30" t="s">
        <v>18</v>
      </c>
      <c r="M35" s="41"/>
    </row>
    <row r="36" spans="2:13" ht="13.5" thickTop="1">
      <c r="B36" s="5"/>
      <c r="C36" s="11" t="s">
        <v>5</v>
      </c>
      <c r="D36" s="12"/>
      <c r="F36" s="7" t="s">
        <v>9</v>
      </c>
      <c r="G36" s="8" t="s">
        <v>9</v>
      </c>
      <c r="I36" s="19" t="s">
        <v>16</v>
      </c>
      <c r="K36" s="31" t="s">
        <v>13</v>
      </c>
      <c r="M36" s="19" t="s">
        <v>26</v>
      </c>
    </row>
    <row r="37" spans="2:13" ht="13.5" thickBot="1">
      <c r="B37" s="9" t="s">
        <v>4</v>
      </c>
      <c r="C37" s="13" t="s">
        <v>6</v>
      </c>
      <c r="D37" s="14" t="s">
        <v>8</v>
      </c>
      <c r="F37" s="7" t="s">
        <v>11</v>
      </c>
      <c r="G37" s="8" t="s">
        <v>10</v>
      </c>
      <c r="I37" s="19" t="s">
        <v>17</v>
      </c>
      <c r="K37" s="32" t="s">
        <v>14</v>
      </c>
      <c r="M37" s="20" t="s">
        <v>27</v>
      </c>
    </row>
    <row r="38" spans="2:13" ht="14.25" thickBot="1" thickTop="1">
      <c r="B38" s="18">
        <v>0</v>
      </c>
      <c r="C38" s="23">
        <v>-2400000</v>
      </c>
      <c r="D38" s="15">
        <f>C38</f>
        <v>-2400000</v>
      </c>
      <c r="F38" s="9" t="s">
        <v>6</v>
      </c>
      <c r="G38" s="10" t="s">
        <v>6</v>
      </c>
      <c r="I38" s="34">
        <v>0.1</v>
      </c>
      <c r="K38" s="33">
        <f>IRR(C38:C45)</f>
        <v>0.17379794113683164</v>
      </c>
      <c r="M38" s="43">
        <f>(I39-C38)/ABS(C38)</f>
        <v>1.2534534044645744</v>
      </c>
    </row>
    <row r="39" spans="2:9" ht="14.25" thickBot="1" thickTop="1">
      <c r="B39" s="19">
        <v>1</v>
      </c>
      <c r="C39" s="24">
        <v>600000</v>
      </c>
      <c r="D39" s="16">
        <f aca="true" t="shared" si="8" ref="D39:D44">D38+C39</f>
        <v>-1800000</v>
      </c>
      <c r="E39" t="str">
        <f aca="true" t="shared" si="9" ref="E39:E44">IF(AND($D38&lt;0,$D39&gt;=0),"Payback Period"," ")</f>
        <v> </v>
      </c>
      <c r="F39" s="22"/>
      <c r="G39" s="22"/>
      <c r="I39" s="28">
        <f>C38+NPV(I38,C39:C45)</f>
        <v>608288.1707149786</v>
      </c>
    </row>
    <row r="40" spans="2:14" ht="13.5" thickTop="1">
      <c r="B40" s="19">
        <v>2</v>
      </c>
      <c r="C40" s="24">
        <v>600000</v>
      </c>
      <c r="D40" s="16">
        <f t="shared" si="8"/>
        <v>-1200000</v>
      </c>
      <c r="E40" t="str">
        <f t="shared" si="9"/>
        <v> </v>
      </c>
      <c r="F40" s="22" t="str">
        <f aca="true" t="shared" si="10" ref="F40:F45">IF(AND($D39&lt;0,$D40&gt;=0),$B40," ")</f>
        <v> </v>
      </c>
      <c r="G40" s="21" t="str">
        <f aca="true" t="shared" si="11" ref="G40:G45">IF(AND($D39&lt;0,$D40&gt;=0),$B39+ABS(D39)/C40," ")</f>
        <v> </v>
      </c>
      <c r="K40" s="29" t="s">
        <v>32</v>
      </c>
      <c r="M40" s="3">
        <f>I39-C38</f>
        <v>3008288.1707149786</v>
      </c>
      <c r="N40" s="40" t="s">
        <v>28</v>
      </c>
    </row>
    <row r="41" spans="2:14" ht="12.75">
      <c r="B41" s="19">
        <v>3</v>
      </c>
      <c r="C41" s="24">
        <v>600000</v>
      </c>
      <c r="D41" s="16">
        <f t="shared" si="8"/>
        <v>-600000</v>
      </c>
      <c r="E41" t="str">
        <f t="shared" si="9"/>
        <v> </v>
      </c>
      <c r="F41" s="22" t="str">
        <f t="shared" si="10"/>
        <v> </v>
      </c>
      <c r="G41" s="21" t="str">
        <f t="shared" si="11"/>
        <v> </v>
      </c>
      <c r="I41" s="2" t="s">
        <v>20</v>
      </c>
      <c r="K41" s="29" t="s">
        <v>33</v>
      </c>
      <c r="M41" s="3">
        <f>C38</f>
        <v>-2400000</v>
      </c>
      <c r="N41" s="40" t="s">
        <v>29</v>
      </c>
    </row>
    <row r="42" spans="2:14" ht="12.75">
      <c r="B42" s="19">
        <v>4</v>
      </c>
      <c r="C42" s="24">
        <v>600000</v>
      </c>
      <c r="D42" s="16">
        <f t="shared" si="8"/>
        <v>0</v>
      </c>
      <c r="E42" t="str">
        <f t="shared" si="9"/>
        <v>Payback Period</v>
      </c>
      <c r="F42" s="22">
        <f t="shared" si="10"/>
        <v>4</v>
      </c>
      <c r="G42" s="21">
        <f t="shared" si="11"/>
        <v>4</v>
      </c>
      <c r="I42" s="35">
        <f>I38</f>
        <v>0.1</v>
      </c>
      <c r="K42" s="29" t="s">
        <v>34</v>
      </c>
      <c r="M42" s="4">
        <f>M40/ABS(M41)</f>
        <v>1.2534534044645744</v>
      </c>
      <c r="N42" s="40" t="s">
        <v>30</v>
      </c>
    </row>
    <row r="43" spans="2:9" ht="12.75">
      <c r="B43" s="19">
        <v>5</v>
      </c>
      <c r="C43" s="24">
        <v>600000</v>
      </c>
      <c r="D43" s="16">
        <f t="shared" si="8"/>
        <v>600000</v>
      </c>
      <c r="E43" t="str">
        <f t="shared" si="9"/>
        <v> </v>
      </c>
      <c r="F43" s="26" t="str">
        <f t="shared" si="10"/>
        <v> </v>
      </c>
      <c r="G43" s="26" t="str">
        <f t="shared" si="11"/>
        <v> </v>
      </c>
      <c r="I43" s="35">
        <f>I38</f>
        <v>0.1</v>
      </c>
    </row>
    <row r="44" spans="2:9" ht="13.5" thickBot="1">
      <c r="B44" s="20">
        <v>6</v>
      </c>
      <c r="C44" s="25">
        <v>1300000</v>
      </c>
      <c r="D44" s="17">
        <f t="shared" si="8"/>
        <v>1900000</v>
      </c>
      <c r="E44" t="str">
        <f t="shared" si="9"/>
        <v> </v>
      </c>
      <c r="F44" s="22" t="str">
        <f t="shared" si="10"/>
        <v> </v>
      </c>
      <c r="G44" s="21" t="str">
        <f t="shared" si="11"/>
        <v> </v>
      </c>
      <c r="H44" s="36" t="s">
        <v>21</v>
      </c>
      <c r="I44" s="37">
        <f>PV(I42,5,-C39)</f>
        <v>2274472.06164507</v>
      </c>
    </row>
    <row r="45" spans="6:9" ht="14.25" thickBot="1" thickTop="1">
      <c r="F45" s="22" t="str">
        <f t="shared" si="10"/>
        <v> </v>
      </c>
      <c r="G45" s="21" t="str">
        <f t="shared" si="11"/>
        <v> </v>
      </c>
      <c r="H45" s="36" t="s">
        <v>36</v>
      </c>
      <c r="I45" s="38">
        <f>PV(I43,6,,-1300000)</f>
        <v>733816.1090699104</v>
      </c>
    </row>
    <row r="46" spans="8:9" ht="13.5" thickTop="1">
      <c r="H46" s="36" t="s">
        <v>24</v>
      </c>
      <c r="I46" s="37">
        <f>I44+I45</f>
        <v>3008288.1707149805</v>
      </c>
    </row>
    <row r="47" spans="8:9" ht="13.5" thickBot="1">
      <c r="H47" s="36" t="s">
        <v>22</v>
      </c>
      <c r="I47" s="37">
        <f>C38</f>
        <v>-2400000</v>
      </c>
    </row>
    <row r="48" spans="8:9" ht="14.25" thickBot="1" thickTop="1">
      <c r="H48" s="36" t="s">
        <v>23</v>
      </c>
      <c r="I48" s="39">
        <f>I46+I47</f>
        <v>608288.1707149805</v>
      </c>
    </row>
    <row r="49" spans="1:17" ht="13.5" thickTop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ht="13.5" thickBot="1"/>
    <row r="51" spans="1:13" ht="14.25" thickBot="1" thickTop="1">
      <c r="A51" s="1" t="s">
        <v>25</v>
      </c>
      <c r="F51" s="5" t="s">
        <v>12</v>
      </c>
      <c r="G51" s="6" t="s">
        <v>12</v>
      </c>
      <c r="I51" s="18" t="s">
        <v>15</v>
      </c>
      <c r="K51" s="30" t="s">
        <v>18</v>
      </c>
      <c r="M51" s="41"/>
    </row>
    <row r="52" spans="2:13" ht="13.5" thickTop="1">
      <c r="B52" s="5"/>
      <c r="C52" s="11" t="s">
        <v>5</v>
      </c>
      <c r="D52" s="12"/>
      <c r="F52" s="7" t="s">
        <v>9</v>
      </c>
      <c r="G52" s="8" t="s">
        <v>9</v>
      </c>
      <c r="I52" s="19" t="s">
        <v>16</v>
      </c>
      <c r="K52" s="31" t="s">
        <v>13</v>
      </c>
      <c r="M52" s="19" t="s">
        <v>26</v>
      </c>
    </row>
    <row r="53" spans="2:13" ht="13.5" thickBot="1">
      <c r="B53" s="9" t="s">
        <v>4</v>
      </c>
      <c r="C53" s="13" t="s">
        <v>6</v>
      </c>
      <c r="D53" s="14" t="s">
        <v>8</v>
      </c>
      <c r="F53" s="7" t="s">
        <v>11</v>
      </c>
      <c r="G53" s="8" t="s">
        <v>10</v>
      </c>
      <c r="I53" s="19" t="s">
        <v>17</v>
      </c>
      <c r="K53" s="32" t="s">
        <v>14</v>
      </c>
      <c r="M53" s="20" t="s">
        <v>27</v>
      </c>
    </row>
    <row r="54" spans="2:13" ht="14.25" thickBot="1" thickTop="1">
      <c r="B54" s="18">
        <v>0</v>
      </c>
      <c r="C54" s="23">
        <v>-2400000</v>
      </c>
      <c r="D54" s="15">
        <f>C54</f>
        <v>-2400000</v>
      </c>
      <c r="F54" s="9" t="s">
        <v>6</v>
      </c>
      <c r="G54" s="10" t="s">
        <v>6</v>
      </c>
      <c r="I54" s="34">
        <v>0.14</v>
      </c>
      <c r="K54" s="33">
        <f>IRR(C54:C61)</f>
        <v>0.17379794113683164</v>
      </c>
      <c r="M54" s="43">
        <f>(I55-C54)/ABS(C54)</f>
        <v>1.1050462888768078</v>
      </c>
    </row>
    <row r="55" spans="2:9" ht="14.25" thickBot="1" thickTop="1">
      <c r="B55" s="19">
        <v>1</v>
      </c>
      <c r="C55" s="24">
        <v>600000</v>
      </c>
      <c r="D55" s="16">
        <f aca="true" t="shared" si="12" ref="D55:D60">D54+C55</f>
        <v>-1800000</v>
      </c>
      <c r="E55" t="str">
        <f aca="true" t="shared" si="13" ref="E55:E60">IF(AND($D54&lt;0,$D55&gt;=0),"Payback Period"," ")</f>
        <v> </v>
      </c>
      <c r="F55" s="22"/>
      <c r="G55" s="22"/>
      <c r="I55" s="28">
        <f>C54+NPV(I54,C55:C61)</f>
        <v>252111.09330433886</v>
      </c>
    </row>
    <row r="56" spans="2:14" ht="13.5" thickTop="1">
      <c r="B56" s="19">
        <v>2</v>
      </c>
      <c r="C56" s="24">
        <v>600000</v>
      </c>
      <c r="D56" s="16">
        <f t="shared" si="12"/>
        <v>-1200000</v>
      </c>
      <c r="E56" t="str">
        <f t="shared" si="13"/>
        <v> </v>
      </c>
      <c r="F56" s="22" t="str">
        <f aca="true" t="shared" si="14" ref="F56:F61">IF(AND($D55&lt;0,$D56&gt;=0),$B56," ")</f>
        <v> </v>
      </c>
      <c r="G56" s="21" t="str">
        <f aca="true" t="shared" si="15" ref="G56:G61">IF(AND($D55&lt;0,$D56&gt;=0),$B55+ABS(D55)/C56," ")</f>
        <v> </v>
      </c>
      <c r="K56" s="29" t="s">
        <v>32</v>
      </c>
      <c r="M56" s="3">
        <f>I55-C54</f>
        <v>2652111.093304339</v>
      </c>
      <c r="N56" s="40" t="s">
        <v>28</v>
      </c>
    </row>
    <row r="57" spans="2:14" ht="12.75">
      <c r="B57" s="19">
        <v>3</v>
      </c>
      <c r="C57" s="24">
        <v>600000</v>
      </c>
      <c r="D57" s="16">
        <f t="shared" si="12"/>
        <v>-600000</v>
      </c>
      <c r="E57" t="str">
        <f t="shared" si="13"/>
        <v> </v>
      </c>
      <c r="F57" s="22" t="str">
        <f t="shared" si="14"/>
        <v> </v>
      </c>
      <c r="G57" s="21" t="str">
        <f t="shared" si="15"/>
        <v> </v>
      </c>
      <c r="I57" s="2" t="s">
        <v>20</v>
      </c>
      <c r="K57" s="29" t="s">
        <v>33</v>
      </c>
      <c r="M57" s="3">
        <f>C54</f>
        <v>-2400000</v>
      </c>
      <c r="N57" s="40" t="s">
        <v>29</v>
      </c>
    </row>
    <row r="58" spans="2:14" ht="12.75">
      <c r="B58" s="19">
        <v>4</v>
      </c>
      <c r="C58" s="24">
        <v>600000</v>
      </c>
      <c r="D58" s="16">
        <f t="shared" si="12"/>
        <v>0</v>
      </c>
      <c r="E58" t="str">
        <f t="shared" si="13"/>
        <v>Payback Period</v>
      </c>
      <c r="F58" s="22">
        <f t="shared" si="14"/>
        <v>4</v>
      </c>
      <c r="G58" s="21">
        <f t="shared" si="15"/>
        <v>4</v>
      </c>
      <c r="I58" s="35">
        <f>I54</f>
        <v>0.14</v>
      </c>
      <c r="K58" s="29" t="s">
        <v>34</v>
      </c>
      <c r="M58" s="4">
        <f>M56/ABS(M57)</f>
        <v>1.1050462888768078</v>
      </c>
      <c r="N58" s="40" t="s">
        <v>30</v>
      </c>
    </row>
    <row r="59" spans="2:9" ht="12.75">
      <c r="B59" s="19">
        <v>5</v>
      </c>
      <c r="C59" s="24">
        <v>600000</v>
      </c>
      <c r="D59" s="16">
        <f t="shared" si="12"/>
        <v>600000</v>
      </c>
      <c r="E59" t="str">
        <f t="shared" si="13"/>
        <v> </v>
      </c>
      <c r="F59" s="26" t="str">
        <f t="shared" si="14"/>
        <v> </v>
      </c>
      <c r="G59" s="26" t="str">
        <f t="shared" si="15"/>
        <v> </v>
      </c>
      <c r="I59" s="35">
        <f>I54</f>
        <v>0.14</v>
      </c>
    </row>
    <row r="60" spans="2:9" ht="13.5" thickBot="1">
      <c r="B60" s="20">
        <v>6</v>
      </c>
      <c r="C60" s="25">
        <v>1300000</v>
      </c>
      <c r="D60" s="17">
        <f t="shared" si="12"/>
        <v>1900000</v>
      </c>
      <c r="E60" t="str">
        <f t="shared" si="13"/>
        <v> </v>
      </c>
      <c r="F60" s="22" t="str">
        <f t="shared" si="14"/>
        <v> </v>
      </c>
      <c r="G60" s="21" t="str">
        <f t="shared" si="15"/>
        <v> </v>
      </c>
      <c r="H60" s="36" t="s">
        <v>21</v>
      </c>
      <c r="I60" s="37">
        <f>PV(I58,5,-C55)</f>
        <v>2059848.5813150771</v>
      </c>
    </row>
    <row r="61" spans="6:9" ht="14.25" thickBot="1" thickTop="1">
      <c r="F61" s="22" t="str">
        <f t="shared" si="14"/>
        <v> </v>
      </c>
      <c r="G61" s="21" t="str">
        <f t="shared" si="15"/>
        <v> </v>
      </c>
      <c r="H61" s="36" t="s">
        <v>36</v>
      </c>
      <c r="I61" s="38">
        <f>PV(I59,6,,-1300000)</f>
        <v>592262.5119892629</v>
      </c>
    </row>
    <row r="62" spans="8:9" ht="13.5" thickTop="1">
      <c r="H62" s="36" t="s">
        <v>24</v>
      </c>
      <c r="I62" s="37">
        <f>I60+I61</f>
        <v>2652111.09330434</v>
      </c>
    </row>
    <row r="63" spans="8:9" ht="13.5" thickBot="1">
      <c r="H63" s="36" t="s">
        <v>22</v>
      </c>
      <c r="I63" s="37">
        <f>C54</f>
        <v>-2400000</v>
      </c>
    </row>
    <row r="64" spans="8:9" ht="14.25" thickBot="1" thickTop="1">
      <c r="H64" s="36" t="s">
        <v>23</v>
      </c>
      <c r="I64" s="39">
        <f>I62+I63</f>
        <v>252111.0933043398</v>
      </c>
    </row>
    <row r="65" ht="13.5" thickTop="1"/>
    <row r="66" spans="1:17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ht="13.5" thickBot="1"/>
    <row r="68" spans="1:13" ht="14.25" thickBot="1" thickTop="1">
      <c r="A68" s="1" t="s">
        <v>35</v>
      </c>
      <c r="F68" s="5" t="s">
        <v>12</v>
      </c>
      <c r="G68" s="6" t="s">
        <v>12</v>
      </c>
      <c r="I68" s="18" t="s">
        <v>15</v>
      </c>
      <c r="K68" s="30" t="s">
        <v>18</v>
      </c>
      <c r="M68" s="41"/>
    </row>
    <row r="69" spans="2:13" ht="13.5" thickTop="1">
      <c r="B69" s="5"/>
      <c r="C69" s="11" t="s">
        <v>5</v>
      </c>
      <c r="D69" s="12"/>
      <c r="F69" s="7" t="s">
        <v>9</v>
      </c>
      <c r="G69" s="8" t="s">
        <v>9</v>
      </c>
      <c r="I69" s="19" t="s">
        <v>16</v>
      </c>
      <c r="K69" s="31" t="s">
        <v>13</v>
      </c>
      <c r="M69" s="19" t="s">
        <v>26</v>
      </c>
    </row>
    <row r="70" spans="2:13" ht="13.5" thickBot="1">
      <c r="B70" s="9" t="s">
        <v>4</v>
      </c>
      <c r="C70" s="13" t="s">
        <v>6</v>
      </c>
      <c r="D70" s="14" t="s">
        <v>8</v>
      </c>
      <c r="F70" s="7" t="s">
        <v>11</v>
      </c>
      <c r="G70" s="8" t="s">
        <v>10</v>
      </c>
      <c r="I70" s="19" t="s">
        <v>17</v>
      </c>
      <c r="K70" s="32" t="s">
        <v>14</v>
      </c>
      <c r="M70" s="20" t="s">
        <v>27</v>
      </c>
    </row>
    <row r="71" spans="2:13" ht="14.25" thickBot="1" thickTop="1">
      <c r="B71" s="18">
        <v>0</v>
      </c>
      <c r="C71" s="23">
        <v>-640000</v>
      </c>
      <c r="D71" s="15">
        <f>C71</f>
        <v>-640000</v>
      </c>
      <c r="F71" s="9" t="s">
        <v>6</v>
      </c>
      <c r="G71" s="10" t="s">
        <v>6</v>
      </c>
      <c r="I71" s="34">
        <v>0.12</v>
      </c>
      <c r="K71" s="33">
        <f>IRR(C71:C79)</f>
        <v>0.05315407992963657</v>
      </c>
      <c r="M71" s="43">
        <f>(I72-C71)/ABS(C71)</f>
        <v>0.7716980835147023</v>
      </c>
    </row>
    <row r="72" spans="2:9" ht="14.25" thickBot="1" thickTop="1">
      <c r="B72" s="19">
        <v>1</v>
      </c>
      <c r="C72" s="24">
        <v>96250</v>
      </c>
      <c r="D72" s="16">
        <f>D71+C72</f>
        <v>-543750</v>
      </c>
      <c r="E72" t="str">
        <f>IF(AND($D71&lt;0,$D72&gt;=0),"Payback Period"," ")</f>
        <v> </v>
      </c>
      <c r="F72" s="22"/>
      <c r="G72" s="22"/>
      <c r="I72" s="28">
        <f>C71+NPV(I71,C72:C79)</f>
        <v>-146113.22655059054</v>
      </c>
    </row>
    <row r="73" spans="2:14" ht="13.5" thickTop="1">
      <c r="B73" s="19">
        <v>2</v>
      </c>
      <c r="C73" s="24">
        <v>96250</v>
      </c>
      <c r="D73" s="16">
        <f aca="true" t="shared" si="16" ref="D73:D79">D72+C73</f>
        <v>-447500</v>
      </c>
      <c r="E73" t="str">
        <f>IF(AND($D72&lt;0,$D73&gt;=0),"Payback Period"," ")</f>
        <v> </v>
      </c>
      <c r="F73" s="22" t="str">
        <f>IF(AND($D72&lt;0,$D73&gt;=0),$B73," ")</f>
        <v> </v>
      </c>
      <c r="G73" s="21" t="str">
        <f>IF(AND($D72&lt;0,$D73&gt;=0),$B72+ABS(D72)/C73," ")</f>
        <v> </v>
      </c>
      <c r="K73" s="29" t="s">
        <v>32</v>
      </c>
      <c r="M73" s="3">
        <f>I72-C71</f>
        <v>493886.77344940946</v>
      </c>
      <c r="N73" s="40" t="s">
        <v>28</v>
      </c>
    </row>
    <row r="74" spans="2:14" ht="12.75">
      <c r="B74" s="19">
        <v>3</v>
      </c>
      <c r="C74" s="24">
        <v>96250</v>
      </c>
      <c r="D74" s="16">
        <f t="shared" si="16"/>
        <v>-351250</v>
      </c>
      <c r="E74" t="str">
        <f>IF(AND($D73&lt;0,$D74&gt;=0),"Payback Period"," ")</f>
        <v> </v>
      </c>
      <c r="F74" s="22" t="str">
        <f>IF(AND($D73&lt;0,$D74&gt;=0),$B74," ")</f>
        <v> </v>
      </c>
      <c r="G74" s="21" t="str">
        <f>IF(AND($D73&lt;0,$D74&gt;=0),$B73+ABS(D73)/C74," ")</f>
        <v> </v>
      </c>
      <c r="I74" s="2" t="s">
        <v>20</v>
      </c>
      <c r="K74" s="29" t="s">
        <v>33</v>
      </c>
      <c r="M74" s="3">
        <f>C71</f>
        <v>-640000</v>
      </c>
      <c r="N74" s="40" t="s">
        <v>29</v>
      </c>
    </row>
    <row r="75" spans="2:14" ht="12.75">
      <c r="B75" s="19">
        <v>4</v>
      </c>
      <c r="C75" s="24">
        <v>96250</v>
      </c>
      <c r="D75" s="16">
        <f t="shared" si="16"/>
        <v>-255000</v>
      </c>
      <c r="F75" s="22"/>
      <c r="G75" s="21"/>
      <c r="I75" s="2"/>
      <c r="K75" s="29"/>
      <c r="M75" s="3"/>
      <c r="N75" s="40"/>
    </row>
    <row r="76" spans="2:14" ht="12.75">
      <c r="B76" s="19">
        <v>5</v>
      </c>
      <c r="C76" s="24">
        <v>96250</v>
      </c>
      <c r="D76" s="16">
        <f t="shared" si="16"/>
        <v>-158750</v>
      </c>
      <c r="F76" s="22"/>
      <c r="G76" s="21"/>
      <c r="I76" s="2"/>
      <c r="K76" s="29"/>
      <c r="M76" s="3"/>
      <c r="N76" s="40"/>
    </row>
    <row r="77" spans="2:14" ht="12.75">
      <c r="B77" s="19">
        <v>6</v>
      </c>
      <c r="C77" s="24">
        <v>96250</v>
      </c>
      <c r="D77" s="16">
        <f>D76+C77</f>
        <v>-62500</v>
      </c>
      <c r="E77" t="str">
        <f>IF(AND($D74&lt;0,$D77&gt;=0),"Payback Period"," ")</f>
        <v> </v>
      </c>
      <c r="F77" s="22" t="str">
        <f>IF(AND($D74&lt;0,$D77&gt;=0),$B77," ")</f>
        <v> </v>
      </c>
      <c r="G77" s="21" t="str">
        <f>IF(AND($D74&lt;0,$D77&gt;=0),$B74+ABS(D74)/C77," ")</f>
        <v> </v>
      </c>
      <c r="I77" s="35">
        <f>I71</f>
        <v>0.12</v>
      </c>
      <c r="K77" s="29" t="s">
        <v>34</v>
      </c>
      <c r="M77" s="4">
        <f>M73/ABS(M74)</f>
        <v>0.7716980835147023</v>
      </c>
      <c r="N77" s="40" t="s">
        <v>30</v>
      </c>
    </row>
    <row r="78" spans="2:9" ht="12.75">
      <c r="B78" s="19">
        <v>7</v>
      </c>
      <c r="C78" s="24">
        <v>96250</v>
      </c>
      <c r="D78" s="16">
        <f t="shared" si="16"/>
        <v>33750</v>
      </c>
      <c r="E78" t="str">
        <f>IF(AND($D77&lt;0,$D78&gt;=0),"Payback Period"," ")</f>
        <v>Payback Period</v>
      </c>
      <c r="F78" s="26">
        <f>IF(AND($D77&lt;0,$D78&gt;=0),$B78," ")</f>
        <v>7</v>
      </c>
      <c r="G78" s="26">
        <f>IF(AND($D77&lt;0,$D78&gt;=0),$B77+ABS(D77)/C78," ")</f>
        <v>6.64935064935065</v>
      </c>
      <c r="I78" s="35">
        <f>I71</f>
        <v>0.12</v>
      </c>
    </row>
    <row r="79" spans="2:9" ht="13.5" thickBot="1">
      <c r="B79" s="20">
        <v>8</v>
      </c>
      <c r="C79" s="25">
        <f>96250+39000</f>
        <v>135250</v>
      </c>
      <c r="D79" s="17">
        <f t="shared" si="16"/>
        <v>169000</v>
      </c>
      <c r="E79" t="str">
        <f>IF(AND($D78&lt;0,$D79&gt;=0),"Payback Period"," ")</f>
        <v> </v>
      </c>
      <c r="F79" s="22" t="str">
        <f>IF(AND($D78&lt;0,$D79&gt;=0),$B79," ")</f>
        <v> </v>
      </c>
      <c r="G79" s="21" t="str">
        <f>IF(AND($D78&lt;0,$D79&gt;=0),$B78+ABS(D78)/C79," ")</f>
        <v> </v>
      </c>
      <c r="H79" s="36" t="s">
        <v>21</v>
      </c>
      <c r="I79" s="37">
        <f>PV(I77,8,-C72)</f>
        <v>478135.32755821437</v>
      </c>
    </row>
    <row r="80" spans="8:9" ht="14.25" thickBot="1" thickTop="1">
      <c r="H80" s="36" t="s">
        <v>36</v>
      </c>
      <c r="I80" s="38">
        <f>PV(I78,8,,-39000)</f>
        <v>15751.445891195395</v>
      </c>
    </row>
    <row r="81" spans="8:9" ht="13.5" thickTop="1">
      <c r="H81" s="36" t="s">
        <v>24</v>
      </c>
      <c r="I81" s="37">
        <f>I79+I80</f>
        <v>493886.77344940975</v>
      </c>
    </row>
    <row r="82" spans="8:9" ht="13.5" thickBot="1">
      <c r="H82" s="36" t="s">
        <v>22</v>
      </c>
      <c r="I82" s="37">
        <f>C71</f>
        <v>-640000</v>
      </c>
    </row>
    <row r="83" spans="8:9" ht="14.25" thickBot="1" thickTop="1">
      <c r="H83" s="36" t="s">
        <v>23</v>
      </c>
      <c r="I83" s="39">
        <f>I81+I82</f>
        <v>-146113.22655059025</v>
      </c>
    </row>
    <row r="84" ht="13.5" thickTop="1"/>
    <row r="85" spans="1:17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ht="13.5" thickBot="1"/>
    <row r="87" spans="1:13" ht="14.25" thickBot="1" thickTop="1">
      <c r="A87" s="1" t="s">
        <v>37</v>
      </c>
      <c r="F87" s="5" t="s">
        <v>12</v>
      </c>
      <c r="G87" s="6" t="s">
        <v>12</v>
      </c>
      <c r="I87" s="18" t="s">
        <v>15</v>
      </c>
      <c r="K87" s="30" t="s">
        <v>18</v>
      </c>
      <c r="M87" s="41"/>
    </row>
    <row r="88" spans="2:13" ht="13.5" thickTop="1">
      <c r="B88" s="5"/>
      <c r="C88" s="11" t="s">
        <v>5</v>
      </c>
      <c r="D88" s="12"/>
      <c r="F88" s="7" t="s">
        <v>9</v>
      </c>
      <c r="G88" s="8" t="s">
        <v>9</v>
      </c>
      <c r="I88" s="19" t="s">
        <v>16</v>
      </c>
      <c r="K88" s="31" t="s">
        <v>13</v>
      </c>
      <c r="M88" s="19" t="s">
        <v>26</v>
      </c>
    </row>
    <row r="89" spans="2:13" ht="13.5" thickBot="1">
      <c r="B89" s="9" t="s">
        <v>4</v>
      </c>
      <c r="C89" s="13" t="s">
        <v>6</v>
      </c>
      <c r="D89" s="14" t="s">
        <v>8</v>
      </c>
      <c r="F89" s="7" t="s">
        <v>11</v>
      </c>
      <c r="G89" s="8" t="s">
        <v>10</v>
      </c>
      <c r="I89" s="19" t="s">
        <v>17</v>
      </c>
      <c r="K89" s="32" t="s">
        <v>14</v>
      </c>
      <c r="M89" s="20" t="s">
        <v>27</v>
      </c>
    </row>
    <row r="90" spans="2:13" ht="14.25" thickBot="1" thickTop="1">
      <c r="B90" s="18">
        <v>0</v>
      </c>
      <c r="C90" s="23">
        <v>-640000</v>
      </c>
      <c r="D90" s="15">
        <f>C90</f>
        <v>-640000</v>
      </c>
      <c r="F90" s="9" t="s">
        <v>6</v>
      </c>
      <c r="G90" s="10" t="s">
        <v>6</v>
      </c>
      <c r="I90" s="34">
        <v>0.05</v>
      </c>
      <c r="K90" s="33">
        <f>IRR(C90:C98)</f>
        <v>0.05315407992963657</v>
      </c>
      <c r="M90" s="43">
        <f>(I91-C90)/ABS(C90)</f>
        <v>1.0132515050217124</v>
      </c>
    </row>
    <row r="91" spans="2:9" ht="14.25" thickBot="1" thickTop="1">
      <c r="B91" s="19">
        <v>1</v>
      </c>
      <c r="C91" s="24">
        <v>96250</v>
      </c>
      <c r="D91" s="16">
        <f aca="true" t="shared" si="17" ref="D91:D98">D90+C91</f>
        <v>-543750</v>
      </c>
      <c r="E91" t="str">
        <f>IF(AND($D90&lt;0,$D91&gt;=0),"Payback Period"," ")</f>
        <v> </v>
      </c>
      <c r="F91" s="22"/>
      <c r="G91" s="22"/>
      <c r="I91" s="28">
        <f>C90+NPV(I90,C91:C98)</f>
        <v>8480.963213895913</v>
      </c>
    </row>
    <row r="92" spans="2:14" ht="13.5" thickTop="1">
      <c r="B92" s="19">
        <v>2</v>
      </c>
      <c r="C92" s="24">
        <v>96250</v>
      </c>
      <c r="D92" s="16">
        <f t="shared" si="17"/>
        <v>-447500</v>
      </c>
      <c r="E92" t="str">
        <f>IF(AND($D91&lt;0,$D92&gt;=0),"Payback Period"," ")</f>
        <v> </v>
      </c>
      <c r="F92" s="22" t="str">
        <f>IF(AND($D91&lt;0,$D92&gt;=0),$B92," ")</f>
        <v> </v>
      </c>
      <c r="G92" s="21" t="str">
        <f>IF(AND($D91&lt;0,$D92&gt;=0),$B91+ABS(D91)/C92," ")</f>
        <v> </v>
      </c>
      <c r="K92" s="29" t="s">
        <v>32</v>
      </c>
      <c r="M92" s="3">
        <f>I91-C90</f>
        <v>648480.9632138959</v>
      </c>
      <c r="N92" s="40" t="s">
        <v>28</v>
      </c>
    </row>
    <row r="93" spans="2:14" ht="12.75">
      <c r="B93" s="19">
        <v>3</v>
      </c>
      <c r="C93" s="24">
        <v>96250</v>
      </c>
      <c r="D93" s="16">
        <f t="shared" si="17"/>
        <v>-351250</v>
      </c>
      <c r="E93" t="str">
        <f>IF(AND($D92&lt;0,$D93&gt;=0),"Payback Period"," ")</f>
        <v> </v>
      </c>
      <c r="F93" s="22" t="str">
        <f>IF(AND($D92&lt;0,$D93&gt;=0),$B93," ")</f>
        <v> </v>
      </c>
      <c r="G93" s="21" t="str">
        <f>IF(AND($D92&lt;0,$D93&gt;=0),$B92+ABS(D92)/C93," ")</f>
        <v> </v>
      </c>
      <c r="I93" s="2" t="s">
        <v>20</v>
      </c>
      <c r="K93" s="29" t="s">
        <v>33</v>
      </c>
      <c r="M93" s="3">
        <f>C90</f>
        <v>-640000</v>
      </c>
      <c r="N93" s="40" t="s">
        <v>29</v>
      </c>
    </row>
    <row r="94" spans="2:14" ht="12.75">
      <c r="B94" s="19">
        <v>4</v>
      </c>
      <c r="C94" s="24">
        <v>96250</v>
      </c>
      <c r="D94" s="16">
        <f t="shared" si="17"/>
        <v>-255000</v>
      </c>
      <c r="F94" s="22"/>
      <c r="G94" s="21"/>
      <c r="I94" s="2"/>
      <c r="K94" s="29"/>
      <c r="M94" s="3"/>
      <c r="N94" s="40"/>
    </row>
    <row r="95" spans="2:14" ht="12.75">
      <c r="B95" s="19">
        <v>5</v>
      </c>
      <c r="C95" s="24">
        <v>96250</v>
      </c>
      <c r="D95" s="16">
        <f t="shared" si="17"/>
        <v>-158750</v>
      </c>
      <c r="F95" s="22"/>
      <c r="G95" s="21"/>
      <c r="I95" s="2"/>
      <c r="K95" s="29"/>
      <c r="M95" s="3"/>
      <c r="N95" s="40"/>
    </row>
    <row r="96" spans="2:14" ht="12.75">
      <c r="B96" s="19">
        <v>6</v>
      </c>
      <c r="C96" s="24">
        <v>96250</v>
      </c>
      <c r="D96" s="16">
        <f t="shared" si="17"/>
        <v>-62500</v>
      </c>
      <c r="E96" t="str">
        <f>IF(AND($D93&lt;0,$D96&gt;=0),"Payback Period"," ")</f>
        <v> </v>
      </c>
      <c r="F96" s="22" t="str">
        <f>IF(AND($D93&lt;0,$D96&gt;=0),$B96," ")</f>
        <v> </v>
      </c>
      <c r="G96" s="21" t="str">
        <f>IF(AND($D93&lt;0,$D96&gt;=0),$B93+ABS(D93)/C96," ")</f>
        <v> </v>
      </c>
      <c r="I96" s="35">
        <f>I90</f>
        <v>0.05</v>
      </c>
      <c r="K96" s="29" t="s">
        <v>34</v>
      </c>
      <c r="M96" s="4">
        <f>M92/ABS(M93)</f>
        <v>1.0132515050217124</v>
      </c>
      <c r="N96" s="40" t="s">
        <v>30</v>
      </c>
    </row>
    <row r="97" spans="2:9" ht="12.75">
      <c r="B97" s="19">
        <v>7</v>
      </c>
      <c r="C97" s="24">
        <v>96250</v>
      </c>
      <c r="D97" s="16">
        <f t="shared" si="17"/>
        <v>33750</v>
      </c>
      <c r="E97" t="str">
        <f>IF(AND($D96&lt;0,$D97&gt;=0),"Payback Period"," ")</f>
        <v>Payback Period</v>
      </c>
      <c r="F97" s="26">
        <f>IF(AND($D96&lt;0,$D97&gt;=0),$B97," ")</f>
        <v>7</v>
      </c>
      <c r="G97" s="26">
        <f>IF(AND($D96&lt;0,$D97&gt;=0),$B96+ABS(D96)/C97," ")</f>
        <v>6.64935064935065</v>
      </c>
      <c r="I97" s="35">
        <f>I90</f>
        <v>0.05</v>
      </c>
    </row>
    <row r="98" spans="2:9" ht="13.5" thickBot="1">
      <c r="B98" s="20">
        <v>8</v>
      </c>
      <c r="C98" s="25">
        <f>96250+39000</f>
        <v>135250</v>
      </c>
      <c r="D98" s="17">
        <f t="shared" si="17"/>
        <v>169000</v>
      </c>
      <c r="E98" t="str">
        <f>IF(AND($D97&lt;0,$D98&gt;=0),"Payback Period"," ")</f>
        <v> </v>
      </c>
      <c r="F98" s="22" t="str">
        <f>IF(AND($D97&lt;0,$D98&gt;=0),$B98," ")</f>
        <v> </v>
      </c>
      <c r="G98" s="21" t="str">
        <f>IF(AND($D97&lt;0,$D98&gt;=0),$B97+ABS(D97)/C98," ")</f>
        <v> </v>
      </c>
      <c r="H98" s="36" t="s">
        <v>21</v>
      </c>
      <c r="I98" s="37">
        <f>PV(I96,8,-C91)</f>
        <v>622084.2280947771</v>
      </c>
    </row>
    <row r="99" spans="8:9" ht="14.25" thickBot="1" thickTop="1">
      <c r="H99" s="36" t="s">
        <v>36</v>
      </c>
      <c r="I99" s="38">
        <f>PV(I97,8,,-39000)</f>
        <v>26396.7351191188</v>
      </c>
    </row>
    <row r="100" spans="8:9" ht="13.5" thickTop="1">
      <c r="H100" s="36" t="s">
        <v>24</v>
      </c>
      <c r="I100" s="37">
        <f>I98+I99</f>
        <v>648480.9632138959</v>
      </c>
    </row>
    <row r="101" spans="8:9" ht="13.5" thickBot="1">
      <c r="H101" s="36" t="s">
        <v>22</v>
      </c>
      <c r="I101" s="37">
        <f>C90</f>
        <v>-640000</v>
      </c>
    </row>
    <row r="102" spans="8:9" ht="14.25" thickBot="1" thickTop="1">
      <c r="H102" s="36" t="s">
        <v>23</v>
      </c>
      <c r="I102" s="39">
        <f>I100+I101</f>
        <v>8480.963213895913</v>
      </c>
    </row>
    <row r="103" ht="13.5" thickTop="1"/>
    <row r="104" spans="1:27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52"/>
      <c r="S104" s="52"/>
      <c r="T104" s="52"/>
      <c r="U104" s="52"/>
      <c r="V104" s="52"/>
      <c r="W104" s="52"/>
      <c r="X104" s="52"/>
      <c r="Y104" s="52"/>
      <c r="Z104" s="52"/>
      <c r="AA104" s="52"/>
    </row>
    <row r="128" ht="12.75">
      <c r="A128" t="s">
        <v>49</v>
      </c>
    </row>
    <row r="129" spans="3:4" ht="12.75">
      <c r="C129" s="77">
        <v>20485</v>
      </c>
      <c r="D129" t="s">
        <v>50</v>
      </c>
    </row>
    <row r="130" spans="3:4" ht="12.75">
      <c r="C130" s="77">
        <v>25000</v>
      </c>
      <c r="D130" t="s">
        <v>51</v>
      </c>
    </row>
    <row r="131" spans="3:4" ht="12.75">
      <c r="C131" s="77">
        <v>23000</v>
      </c>
      <c r="D131" t="s">
        <v>52</v>
      </c>
    </row>
    <row r="132" spans="3:4" ht="12.75">
      <c r="C132" s="88">
        <v>0.1</v>
      </c>
      <c r="D132" t="s">
        <v>53</v>
      </c>
    </row>
    <row r="133" spans="3:4" ht="12.75">
      <c r="C133" s="78">
        <v>48</v>
      </c>
      <c r="D133" t="s">
        <v>54</v>
      </c>
    </row>
    <row r="134" ht="12.75">
      <c r="C134" s="77"/>
    </row>
    <row r="135" spans="2:3" ht="12.75">
      <c r="B135" s="79" t="s">
        <v>55</v>
      </c>
      <c r="C135" s="80" t="s">
        <v>61</v>
      </c>
    </row>
    <row r="136" ht="12.75">
      <c r="C136" s="80" t="s">
        <v>60</v>
      </c>
    </row>
    <row r="137" ht="13.5" thickBot="1">
      <c r="C137" s="77"/>
    </row>
    <row r="138" spans="3:51" s="36" customFormat="1" ht="14.25" thickBot="1" thickTop="1">
      <c r="C138" s="82" t="s">
        <v>58</v>
      </c>
      <c r="D138" s="83">
        <v>1</v>
      </c>
      <c r="E138" s="83">
        <v>2</v>
      </c>
      <c r="F138" s="83">
        <v>3</v>
      </c>
      <c r="G138" s="83">
        <v>4</v>
      </c>
      <c r="H138" s="83">
        <v>5</v>
      </c>
      <c r="I138" s="83">
        <v>6</v>
      </c>
      <c r="J138" s="83">
        <v>7</v>
      </c>
      <c r="K138" s="83">
        <v>8</v>
      </c>
      <c r="L138" s="83">
        <v>9</v>
      </c>
      <c r="M138" s="83">
        <v>10</v>
      </c>
      <c r="N138" s="83">
        <v>11</v>
      </c>
      <c r="O138" s="83">
        <v>12</v>
      </c>
      <c r="P138" s="83">
        <v>13</v>
      </c>
      <c r="Q138" s="83">
        <v>14</v>
      </c>
      <c r="R138" s="83">
        <v>15</v>
      </c>
      <c r="S138" s="83">
        <v>16</v>
      </c>
      <c r="T138" s="83">
        <v>17</v>
      </c>
      <c r="U138" s="83">
        <v>18</v>
      </c>
      <c r="V138" s="83">
        <v>19</v>
      </c>
      <c r="W138" s="83">
        <v>20</v>
      </c>
      <c r="X138" s="83">
        <v>21</v>
      </c>
      <c r="Y138" s="83">
        <v>22</v>
      </c>
      <c r="Z138" s="83">
        <v>23</v>
      </c>
      <c r="AA138" s="83">
        <v>24</v>
      </c>
      <c r="AB138" s="83">
        <v>25</v>
      </c>
      <c r="AC138" s="83">
        <v>26</v>
      </c>
      <c r="AD138" s="83">
        <v>27</v>
      </c>
      <c r="AE138" s="83">
        <v>28</v>
      </c>
      <c r="AF138" s="83">
        <v>29</v>
      </c>
      <c r="AG138" s="83">
        <v>30</v>
      </c>
      <c r="AH138" s="83">
        <v>31</v>
      </c>
      <c r="AI138" s="83">
        <v>32</v>
      </c>
      <c r="AJ138" s="83">
        <v>33</v>
      </c>
      <c r="AK138" s="83">
        <v>34</v>
      </c>
      <c r="AL138" s="83">
        <v>35</v>
      </c>
      <c r="AM138" s="83">
        <v>36</v>
      </c>
      <c r="AN138" s="83">
        <v>37</v>
      </c>
      <c r="AO138" s="83">
        <v>38</v>
      </c>
      <c r="AP138" s="83">
        <v>39</v>
      </c>
      <c r="AQ138" s="83">
        <v>40</v>
      </c>
      <c r="AR138" s="83">
        <v>41</v>
      </c>
      <c r="AS138" s="83">
        <v>42</v>
      </c>
      <c r="AT138" s="83">
        <v>43</v>
      </c>
      <c r="AU138" s="83">
        <v>44</v>
      </c>
      <c r="AV138" s="83">
        <v>45</v>
      </c>
      <c r="AW138" s="83">
        <v>46</v>
      </c>
      <c r="AX138" s="83">
        <v>47</v>
      </c>
      <c r="AY138" s="84">
        <v>48</v>
      </c>
    </row>
    <row r="139" spans="3:57" s="110" customFormat="1" ht="13.5" thickTop="1">
      <c r="C139" s="110" t="s">
        <v>57</v>
      </c>
      <c r="D139" s="110">
        <f>IPMT($C$132/12,D$138,$C$133,-$C$131)</f>
        <v>191.66666666666666</v>
      </c>
      <c r="E139" s="110">
        <f aca="true" t="shared" si="18" ref="E139:AY139">IPMT($C$132/12,E$138,$C$133,-$C$131)</f>
        <v>188.40272706389567</v>
      </c>
      <c r="F139" s="110">
        <f t="shared" si="18"/>
        <v>185.1115879644349</v>
      </c>
      <c r="G139" s="110">
        <f t="shared" si="18"/>
        <v>181.793022705812</v>
      </c>
      <c r="H139" s="110">
        <f t="shared" si="18"/>
        <v>178.44680273670056</v>
      </c>
      <c r="I139" s="110">
        <f t="shared" si="18"/>
        <v>175.07269760117987</v>
      </c>
      <c r="J139" s="110">
        <f t="shared" si="18"/>
        <v>171.6704749228631</v>
      </c>
      <c r="K139" s="110">
        <f t="shared" si="18"/>
        <v>168.2399003888938</v>
      </c>
      <c r="L139" s="110">
        <f t="shared" si="18"/>
        <v>164.780737733808</v>
      </c>
      <c r="M139" s="110">
        <f t="shared" si="18"/>
        <v>161.2927487232632</v>
      </c>
      <c r="N139" s="110">
        <f t="shared" si="18"/>
        <v>157.77569313763044</v>
      </c>
      <c r="O139" s="110">
        <f t="shared" si="18"/>
        <v>154.2293287554509</v>
      </c>
      <c r="P139" s="110">
        <f t="shared" si="18"/>
        <v>150.65341133675304</v>
      </c>
      <c r="Q139" s="110">
        <f t="shared" si="18"/>
        <v>147.04769460623282</v>
      </c>
      <c r="R139" s="110">
        <f t="shared" si="18"/>
        <v>143.41193023629157</v>
      </c>
      <c r="S139" s="110">
        <f t="shared" si="18"/>
        <v>139.74586782993407</v>
      </c>
      <c r="T139" s="110">
        <f t="shared" si="18"/>
        <v>136.04925490352363</v>
      </c>
      <c r="U139" s="110">
        <f t="shared" si="18"/>
        <v>132.32183686939317</v>
      </c>
      <c r="V139" s="110">
        <f t="shared" si="18"/>
        <v>128.56335701831148</v>
      </c>
      <c r="W139" s="110">
        <f t="shared" si="18"/>
        <v>124.77355650180424</v>
      </c>
      <c r="X139" s="110">
        <f t="shared" si="18"/>
        <v>120.95217431432611</v>
      </c>
      <c r="Y139" s="110">
        <f t="shared" si="18"/>
        <v>117.09894727528565</v>
      </c>
      <c r="Z139" s="110">
        <f t="shared" si="18"/>
        <v>113.2136100109197</v>
      </c>
      <c r="AA139" s="110">
        <f t="shared" si="18"/>
        <v>109.29589493601755</v>
      </c>
      <c r="AB139" s="110">
        <f t="shared" si="18"/>
        <v>105.34553223549113</v>
      </c>
      <c r="AC139" s="110">
        <f t="shared" si="18"/>
        <v>101.36224984579374</v>
      </c>
      <c r="AD139" s="110">
        <f t="shared" si="18"/>
        <v>97.34577343618211</v>
      </c>
      <c r="AE139" s="110">
        <f t="shared" si="18"/>
        <v>93.29582638982367</v>
      </c>
      <c r="AF139" s="110">
        <f t="shared" si="18"/>
        <v>89.21212978474568</v>
      </c>
      <c r="AG139" s="110">
        <f t="shared" si="18"/>
        <v>85.09440237462546</v>
      </c>
      <c r="AH139" s="110">
        <f t="shared" si="18"/>
        <v>80.9423605694207</v>
      </c>
      <c r="AI139" s="110">
        <f t="shared" si="18"/>
        <v>76.75571841583935</v>
      </c>
      <c r="AJ139" s="110">
        <f t="shared" si="18"/>
        <v>72.53418757764479</v>
      </c>
      <c r="AK139" s="110">
        <f t="shared" si="18"/>
        <v>68.27747731579863</v>
      </c>
      <c r="AL139" s="110">
        <f t="shared" si="18"/>
        <v>63.98529446843701</v>
      </c>
      <c r="AM139" s="110">
        <f t="shared" si="18"/>
        <v>59.65734343068088</v>
      </c>
      <c r="AN139" s="110">
        <f t="shared" si="18"/>
        <v>55.29332613427668</v>
      </c>
      <c r="AO139" s="110">
        <f t="shared" si="18"/>
        <v>50.89294202706915</v>
      </c>
      <c r="AP139" s="110">
        <f t="shared" si="18"/>
        <v>46.45588805230142</v>
      </c>
      <c r="AQ139" s="110">
        <f t="shared" si="18"/>
        <v>41.98185862774417</v>
      </c>
      <c r="AR139" s="110">
        <f t="shared" si="18"/>
        <v>37.4705456246487</v>
      </c>
      <c r="AS139" s="110">
        <f t="shared" si="18"/>
        <v>32.92163834652762</v>
      </c>
      <c r="AT139" s="110">
        <f t="shared" si="18"/>
        <v>28.33482350775539</v>
      </c>
      <c r="AU139" s="110">
        <f t="shared" si="18"/>
        <v>23.709785211993584</v>
      </c>
      <c r="AV139" s="110">
        <f t="shared" si="18"/>
        <v>19.04620493043358</v>
      </c>
      <c r="AW139" s="110">
        <f t="shared" si="18"/>
        <v>14.343761479860769</v>
      </c>
      <c r="AX139" s="110">
        <f t="shared" si="18"/>
        <v>9.602131000532943</v>
      </c>
      <c r="AY139" s="110">
        <f t="shared" si="18"/>
        <v>4.82098693387749</v>
      </c>
      <c r="AZ139" s="110">
        <f>SUM(D139:AY139)</f>
        <v>5000.292111960895</v>
      </c>
      <c r="BA139" s="111" t="s">
        <v>76</v>
      </c>
      <c r="BB139" s="99"/>
      <c r="BC139" s="99"/>
      <c r="BD139" s="99"/>
      <c r="BE139" s="99"/>
    </row>
    <row r="140" spans="3:53" s="112" customFormat="1" ht="13.5" thickBot="1">
      <c r="C140" s="113" t="s">
        <v>56</v>
      </c>
      <c r="D140" s="113">
        <f>PPMT($C$132/12,D$138,$C$133,-$C$131)</f>
        <v>391.672752332521</v>
      </c>
      <c r="E140" s="113">
        <f aca="true" t="shared" si="19" ref="E140:AY140">PPMT($C$132/12,E$138,$C$133,-$C$131)</f>
        <v>394.93669193529195</v>
      </c>
      <c r="F140" s="113">
        <f t="shared" si="19"/>
        <v>398.22783103475274</v>
      </c>
      <c r="G140" s="113">
        <f t="shared" si="19"/>
        <v>401.5463962933756</v>
      </c>
      <c r="H140" s="113">
        <f t="shared" si="19"/>
        <v>404.8926162624871</v>
      </c>
      <c r="I140" s="113">
        <f t="shared" si="19"/>
        <v>408.26672139800775</v>
      </c>
      <c r="J140" s="113">
        <f t="shared" si="19"/>
        <v>411.6689440763245</v>
      </c>
      <c r="K140" s="113">
        <f t="shared" si="19"/>
        <v>415.0995186102938</v>
      </c>
      <c r="L140" s="113">
        <f t="shared" si="19"/>
        <v>418.5586812653796</v>
      </c>
      <c r="M140" s="113">
        <f t="shared" si="19"/>
        <v>422.0466702759244</v>
      </c>
      <c r="N140" s="113">
        <f t="shared" si="19"/>
        <v>425.56372586155715</v>
      </c>
      <c r="O140" s="113">
        <f t="shared" si="19"/>
        <v>429.11009024373675</v>
      </c>
      <c r="P140" s="113">
        <f t="shared" si="19"/>
        <v>432.6860076624346</v>
      </c>
      <c r="Q140" s="113">
        <f t="shared" si="19"/>
        <v>436.2917243929548</v>
      </c>
      <c r="R140" s="113">
        <f t="shared" si="19"/>
        <v>439.927488762896</v>
      </c>
      <c r="S140" s="113">
        <f t="shared" si="19"/>
        <v>443.59355116925354</v>
      </c>
      <c r="T140" s="113">
        <f t="shared" si="19"/>
        <v>447.29016409566395</v>
      </c>
      <c r="U140" s="113">
        <f t="shared" si="19"/>
        <v>451.01758212979445</v>
      </c>
      <c r="V140" s="113">
        <f t="shared" si="19"/>
        <v>454.77606198087614</v>
      </c>
      <c r="W140" s="113">
        <f t="shared" si="19"/>
        <v>458.56586249738336</v>
      </c>
      <c r="X140" s="113">
        <f t="shared" si="19"/>
        <v>462.3872446848615</v>
      </c>
      <c r="Y140" s="113">
        <f t="shared" si="19"/>
        <v>466.240471723902</v>
      </c>
      <c r="Z140" s="113">
        <f t="shared" si="19"/>
        <v>470.1258089882679</v>
      </c>
      <c r="AA140" s="113">
        <f t="shared" si="19"/>
        <v>474.0435240631701</v>
      </c>
      <c r="AB140" s="113">
        <f t="shared" si="19"/>
        <v>477.9938867636965</v>
      </c>
      <c r="AC140" s="113">
        <f t="shared" si="19"/>
        <v>481.9771691533939</v>
      </c>
      <c r="AD140" s="113">
        <f t="shared" si="19"/>
        <v>485.9936455630055</v>
      </c>
      <c r="AE140" s="113">
        <f t="shared" si="19"/>
        <v>490.04359260936394</v>
      </c>
      <c r="AF140" s="113">
        <f t="shared" si="19"/>
        <v>494.12728921444193</v>
      </c>
      <c r="AG140" s="113">
        <f t="shared" si="19"/>
        <v>498.24501662456214</v>
      </c>
      <c r="AH140" s="113">
        <f t="shared" si="19"/>
        <v>502.3970584297669</v>
      </c>
      <c r="AI140" s="113">
        <f t="shared" si="19"/>
        <v>506.5837005833483</v>
      </c>
      <c r="AJ140" s="113">
        <f t="shared" si="19"/>
        <v>510.8052314215428</v>
      </c>
      <c r="AK140" s="113">
        <f t="shared" si="19"/>
        <v>515.061941683389</v>
      </c>
      <c r="AL140" s="113">
        <f t="shared" si="19"/>
        <v>519.3541245307506</v>
      </c>
      <c r="AM140" s="113">
        <f t="shared" si="19"/>
        <v>523.6820755685068</v>
      </c>
      <c r="AN140" s="113">
        <f t="shared" si="19"/>
        <v>528.046092864911</v>
      </c>
      <c r="AO140" s="113">
        <f t="shared" si="19"/>
        <v>532.4464769721185</v>
      </c>
      <c r="AP140" s="113">
        <f t="shared" si="19"/>
        <v>536.8835309468861</v>
      </c>
      <c r="AQ140" s="113">
        <f t="shared" si="19"/>
        <v>541.3575603714435</v>
      </c>
      <c r="AR140" s="113">
        <f t="shared" si="19"/>
        <v>545.8688733745389</v>
      </c>
      <c r="AS140" s="113">
        <f t="shared" si="19"/>
        <v>550.41778065266</v>
      </c>
      <c r="AT140" s="113">
        <f t="shared" si="19"/>
        <v>555.0045954914323</v>
      </c>
      <c r="AU140" s="113">
        <f t="shared" si="19"/>
        <v>559.629633787194</v>
      </c>
      <c r="AV140" s="113">
        <f t="shared" si="19"/>
        <v>564.2932140687541</v>
      </c>
      <c r="AW140" s="113">
        <f t="shared" si="19"/>
        <v>568.9956575193269</v>
      </c>
      <c r="AX140" s="113">
        <f t="shared" si="19"/>
        <v>573.7372879986547</v>
      </c>
      <c r="AY140" s="113">
        <f t="shared" si="19"/>
        <v>578.5184320653101</v>
      </c>
      <c r="AZ140" s="112">
        <f>SUM(D140:AY140)</f>
        <v>23000.000000000113</v>
      </c>
      <c r="BA140" s="114" t="s">
        <v>77</v>
      </c>
    </row>
    <row r="141" spans="2:51" s="115" customFormat="1" ht="13.5" thickTop="1">
      <c r="B141" s="115" t="s">
        <v>7</v>
      </c>
      <c r="C141" s="115" t="s">
        <v>59</v>
      </c>
      <c r="D141" s="115">
        <f>PMT($C$132/12,$C$133,-$C$131)</f>
        <v>583.3394189991876</v>
      </c>
      <c r="E141" s="115">
        <f aca="true" t="shared" si="20" ref="E141:AY141">PMT($C$132/12,$C$133,-$C$131)</f>
        <v>583.3394189991876</v>
      </c>
      <c r="F141" s="115">
        <f t="shared" si="20"/>
        <v>583.3394189991876</v>
      </c>
      <c r="G141" s="115">
        <f t="shared" si="20"/>
        <v>583.3394189991876</v>
      </c>
      <c r="H141" s="115">
        <f t="shared" si="20"/>
        <v>583.3394189991876</v>
      </c>
      <c r="I141" s="115">
        <f t="shared" si="20"/>
        <v>583.3394189991876</v>
      </c>
      <c r="J141" s="115">
        <f t="shared" si="20"/>
        <v>583.3394189991876</v>
      </c>
      <c r="K141" s="115">
        <f t="shared" si="20"/>
        <v>583.3394189991876</v>
      </c>
      <c r="L141" s="115">
        <f t="shared" si="20"/>
        <v>583.3394189991876</v>
      </c>
      <c r="M141" s="115">
        <f t="shared" si="20"/>
        <v>583.3394189991876</v>
      </c>
      <c r="N141" s="115">
        <f t="shared" si="20"/>
        <v>583.3394189991876</v>
      </c>
      <c r="O141" s="115">
        <f t="shared" si="20"/>
        <v>583.3394189991876</v>
      </c>
      <c r="P141" s="115">
        <f t="shared" si="20"/>
        <v>583.3394189991876</v>
      </c>
      <c r="Q141" s="115">
        <f t="shared" si="20"/>
        <v>583.3394189991876</v>
      </c>
      <c r="R141" s="115">
        <f t="shared" si="20"/>
        <v>583.3394189991876</v>
      </c>
      <c r="S141" s="115">
        <f t="shared" si="20"/>
        <v>583.3394189991876</v>
      </c>
      <c r="T141" s="115">
        <f t="shared" si="20"/>
        <v>583.3394189991876</v>
      </c>
      <c r="U141" s="115">
        <f t="shared" si="20"/>
        <v>583.3394189991876</v>
      </c>
      <c r="V141" s="115">
        <f t="shared" si="20"/>
        <v>583.3394189991876</v>
      </c>
      <c r="W141" s="115">
        <f t="shared" si="20"/>
        <v>583.3394189991876</v>
      </c>
      <c r="X141" s="115">
        <f t="shared" si="20"/>
        <v>583.3394189991876</v>
      </c>
      <c r="Y141" s="115">
        <f t="shared" si="20"/>
        <v>583.3394189991876</v>
      </c>
      <c r="Z141" s="115">
        <f t="shared" si="20"/>
        <v>583.3394189991876</v>
      </c>
      <c r="AA141" s="115">
        <f t="shared" si="20"/>
        <v>583.3394189991876</v>
      </c>
      <c r="AB141" s="115">
        <f t="shared" si="20"/>
        <v>583.3394189991876</v>
      </c>
      <c r="AC141" s="115">
        <f t="shared" si="20"/>
        <v>583.3394189991876</v>
      </c>
      <c r="AD141" s="115">
        <f t="shared" si="20"/>
        <v>583.3394189991876</v>
      </c>
      <c r="AE141" s="115">
        <f t="shared" si="20"/>
        <v>583.3394189991876</v>
      </c>
      <c r="AF141" s="115">
        <f t="shared" si="20"/>
        <v>583.3394189991876</v>
      </c>
      <c r="AG141" s="115">
        <f t="shared" si="20"/>
        <v>583.3394189991876</v>
      </c>
      <c r="AH141" s="115">
        <f t="shared" si="20"/>
        <v>583.3394189991876</v>
      </c>
      <c r="AI141" s="115">
        <f t="shared" si="20"/>
        <v>583.3394189991876</v>
      </c>
      <c r="AJ141" s="115">
        <f t="shared" si="20"/>
        <v>583.3394189991876</v>
      </c>
      <c r="AK141" s="115">
        <f t="shared" si="20"/>
        <v>583.3394189991876</v>
      </c>
      <c r="AL141" s="115">
        <f t="shared" si="20"/>
        <v>583.3394189991876</v>
      </c>
      <c r="AM141" s="115">
        <f t="shared" si="20"/>
        <v>583.3394189991876</v>
      </c>
      <c r="AN141" s="115">
        <f t="shared" si="20"/>
        <v>583.3394189991876</v>
      </c>
      <c r="AO141" s="115">
        <f t="shared" si="20"/>
        <v>583.3394189991876</v>
      </c>
      <c r="AP141" s="115">
        <f t="shared" si="20"/>
        <v>583.3394189991876</v>
      </c>
      <c r="AQ141" s="115">
        <f t="shared" si="20"/>
        <v>583.3394189991876</v>
      </c>
      <c r="AR141" s="115">
        <f t="shared" si="20"/>
        <v>583.3394189991876</v>
      </c>
      <c r="AS141" s="115">
        <f t="shared" si="20"/>
        <v>583.3394189991876</v>
      </c>
      <c r="AT141" s="115">
        <f t="shared" si="20"/>
        <v>583.3394189991876</v>
      </c>
      <c r="AU141" s="115">
        <f t="shared" si="20"/>
        <v>583.3394189991876</v>
      </c>
      <c r="AV141" s="115">
        <f t="shared" si="20"/>
        <v>583.3394189991876</v>
      </c>
      <c r="AW141" s="115">
        <f t="shared" si="20"/>
        <v>583.3394189991876</v>
      </c>
      <c r="AX141" s="115">
        <f t="shared" si="20"/>
        <v>583.3394189991876</v>
      </c>
      <c r="AY141" s="115">
        <f t="shared" si="20"/>
        <v>583.3394189991876</v>
      </c>
    </row>
    <row r="157" spans="2:3" ht="12.75">
      <c r="B157" s="79" t="s">
        <v>64</v>
      </c>
      <c r="C157" s="80" t="s">
        <v>70</v>
      </c>
    </row>
    <row r="158" ht="12.75">
      <c r="C158" s="80" t="s">
        <v>60</v>
      </c>
    </row>
    <row r="159" ht="12.75">
      <c r="C159" s="85" t="s">
        <v>62</v>
      </c>
    </row>
    <row r="160" ht="13.5" thickBot="1"/>
    <row r="161" spans="3:51" s="36" customFormat="1" ht="14.25" thickBot="1" thickTop="1">
      <c r="C161" s="82" t="s">
        <v>58</v>
      </c>
      <c r="D161" s="83">
        <v>1</v>
      </c>
      <c r="E161" s="83">
        <v>2</v>
      </c>
      <c r="F161" s="83">
        <v>3</v>
      </c>
      <c r="G161" s="83">
        <v>4</v>
      </c>
      <c r="H161" s="83">
        <v>5</v>
      </c>
      <c r="I161" s="83">
        <v>6</v>
      </c>
      <c r="J161" s="83">
        <v>7</v>
      </c>
      <c r="K161" s="83">
        <v>8</v>
      </c>
      <c r="L161" s="83">
        <v>9</v>
      </c>
      <c r="M161" s="83">
        <v>10</v>
      </c>
      <c r="N161" s="83">
        <v>11</v>
      </c>
      <c r="O161" s="83">
        <v>12</v>
      </c>
      <c r="P161" s="83">
        <v>13</v>
      </c>
      <c r="Q161" s="83">
        <v>14</v>
      </c>
      <c r="R161" s="83">
        <v>15</v>
      </c>
      <c r="S161" s="83">
        <v>16</v>
      </c>
      <c r="T161" s="83">
        <v>17</v>
      </c>
      <c r="U161" s="83">
        <v>18</v>
      </c>
      <c r="V161" s="83">
        <v>19</v>
      </c>
      <c r="W161" s="83">
        <v>20</v>
      </c>
      <c r="X161" s="83">
        <v>21</v>
      </c>
      <c r="Y161" s="83">
        <v>22</v>
      </c>
      <c r="Z161" s="83">
        <v>23</v>
      </c>
      <c r="AA161" s="83">
        <v>24</v>
      </c>
      <c r="AB161" s="83">
        <v>25</v>
      </c>
      <c r="AC161" s="83">
        <v>26</v>
      </c>
      <c r="AD161" s="83">
        <v>27</v>
      </c>
      <c r="AE161" s="83">
        <v>28</v>
      </c>
      <c r="AF161" s="83">
        <v>29</v>
      </c>
      <c r="AG161" s="83">
        <v>30</v>
      </c>
      <c r="AH161" s="83">
        <v>31</v>
      </c>
      <c r="AI161" s="83">
        <v>32</v>
      </c>
      <c r="AJ161" s="83">
        <v>33</v>
      </c>
      <c r="AK161" s="83">
        <v>34</v>
      </c>
      <c r="AL161" s="83">
        <v>35</v>
      </c>
      <c r="AM161" s="83">
        <v>36</v>
      </c>
      <c r="AN161" s="83">
        <v>37</v>
      </c>
      <c r="AO161" s="83">
        <v>38</v>
      </c>
      <c r="AP161" s="83">
        <v>39</v>
      </c>
      <c r="AQ161" s="83">
        <v>40</v>
      </c>
      <c r="AR161" s="83">
        <v>41</v>
      </c>
      <c r="AS161" s="83">
        <v>42</v>
      </c>
      <c r="AT161" s="83">
        <v>43</v>
      </c>
      <c r="AU161" s="83">
        <v>44</v>
      </c>
      <c r="AV161" s="83">
        <v>45</v>
      </c>
      <c r="AW161" s="83">
        <v>46</v>
      </c>
      <c r="AX161" s="83">
        <v>47</v>
      </c>
      <c r="AY161" s="84">
        <v>48</v>
      </c>
    </row>
    <row r="162" spans="2:51" s="116" customFormat="1" ht="14.25" thickBot="1" thickTop="1">
      <c r="B162" s="116" t="s">
        <v>59</v>
      </c>
      <c r="C162" s="117">
        <f>(C$129-(C$130-C$131))</f>
        <v>18485</v>
      </c>
      <c r="D162" s="118">
        <f aca="true" t="shared" si="21" ref="D162:AY162">-D$141</f>
        <v>-583.3394189991876</v>
      </c>
      <c r="E162" s="118">
        <f t="shared" si="21"/>
        <v>-583.3394189991876</v>
      </c>
      <c r="F162" s="118">
        <f t="shared" si="21"/>
        <v>-583.3394189991876</v>
      </c>
      <c r="G162" s="118">
        <f t="shared" si="21"/>
        <v>-583.3394189991876</v>
      </c>
      <c r="H162" s="118">
        <f t="shared" si="21"/>
        <v>-583.3394189991876</v>
      </c>
      <c r="I162" s="118">
        <f t="shared" si="21"/>
        <v>-583.3394189991876</v>
      </c>
      <c r="J162" s="118">
        <f t="shared" si="21"/>
        <v>-583.3394189991876</v>
      </c>
      <c r="K162" s="118">
        <f t="shared" si="21"/>
        <v>-583.3394189991876</v>
      </c>
      <c r="L162" s="118">
        <f t="shared" si="21"/>
        <v>-583.3394189991876</v>
      </c>
      <c r="M162" s="118">
        <f t="shared" si="21"/>
        <v>-583.3394189991876</v>
      </c>
      <c r="N162" s="118">
        <f t="shared" si="21"/>
        <v>-583.3394189991876</v>
      </c>
      <c r="O162" s="118">
        <f t="shared" si="21"/>
        <v>-583.3394189991876</v>
      </c>
      <c r="P162" s="118">
        <f t="shared" si="21"/>
        <v>-583.3394189991876</v>
      </c>
      <c r="Q162" s="118">
        <f t="shared" si="21"/>
        <v>-583.3394189991876</v>
      </c>
      <c r="R162" s="118">
        <f t="shared" si="21"/>
        <v>-583.3394189991876</v>
      </c>
      <c r="S162" s="118">
        <f t="shared" si="21"/>
        <v>-583.3394189991876</v>
      </c>
      <c r="T162" s="118">
        <f t="shared" si="21"/>
        <v>-583.3394189991876</v>
      </c>
      <c r="U162" s="118">
        <f t="shared" si="21"/>
        <v>-583.3394189991876</v>
      </c>
      <c r="V162" s="118">
        <f t="shared" si="21"/>
        <v>-583.3394189991876</v>
      </c>
      <c r="W162" s="118">
        <f t="shared" si="21"/>
        <v>-583.3394189991876</v>
      </c>
      <c r="X162" s="118">
        <f t="shared" si="21"/>
        <v>-583.3394189991876</v>
      </c>
      <c r="Y162" s="118">
        <f t="shared" si="21"/>
        <v>-583.3394189991876</v>
      </c>
      <c r="Z162" s="118">
        <f t="shared" si="21"/>
        <v>-583.3394189991876</v>
      </c>
      <c r="AA162" s="118">
        <f t="shared" si="21"/>
        <v>-583.3394189991876</v>
      </c>
      <c r="AB162" s="118">
        <f t="shared" si="21"/>
        <v>-583.3394189991876</v>
      </c>
      <c r="AC162" s="118">
        <f t="shared" si="21"/>
        <v>-583.3394189991876</v>
      </c>
      <c r="AD162" s="118">
        <f t="shared" si="21"/>
        <v>-583.3394189991876</v>
      </c>
      <c r="AE162" s="118">
        <f t="shared" si="21"/>
        <v>-583.3394189991876</v>
      </c>
      <c r="AF162" s="118">
        <f t="shared" si="21"/>
        <v>-583.3394189991876</v>
      </c>
      <c r="AG162" s="118">
        <f t="shared" si="21"/>
        <v>-583.3394189991876</v>
      </c>
      <c r="AH162" s="118">
        <f t="shared" si="21"/>
        <v>-583.3394189991876</v>
      </c>
      <c r="AI162" s="118">
        <f t="shared" si="21"/>
        <v>-583.3394189991876</v>
      </c>
      <c r="AJ162" s="118">
        <f t="shared" si="21"/>
        <v>-583.3394189991876</v>
      </c>
      <c r="AK162" s="118">
        <f t="shared" si="21"/>
        <v>-583.3394189991876</v>
      </c>
      <c r="AL162" s="118">
        <f t="shared" si="21"/>
        <v>-583.3394189991876</v>
      </c>
      <c r="AM162" s="118">
        <f t="shared" si="21"/>
        <v>-583.3394189991876</v>
      </c>
      <c r="AN162" s="118">
        <f t="shared" si="21"/>
        <v>-583.3394189991876</v>
      </c>
      <c r="AO162" s="118">
        <f t="shared" si="21"/>
        <v>-583.3394189991876</v>
      </c>
      <c r="AP162" s="118">
        <f t="shared" si="21"/>
        <v>-583.3394189991876</v>
      </c>
      <c r="AQ162" s="118">
        <f t="shared" si="21"/>
        <v>-583.3394189991876</v>
      </c>
      <c r="AR162" s="118">
        <f t="shared" si="21"/>
        <v>-583.3394189991876</v>
      </c>
      <c r="AS162" s="118">
        <f t="shared" si="21"/>
        <v>-583.3394189991876</v>
      </c>
      <c r="AT162" s="118">
        <f t="shared" si="21"/>
        <v>-583.3394189991876</v>
      </c>
      <c r="AU162" s="118">
        <f t="shared" si="21"/>
        <v>-583.3394189991876</v>
      </c>
      <c r="AV162" s="118">
        <f t="shared" si="21"/>
        <v>-583.3394189991876</v>
      </c>
      <c r="AW162" s="118">
        <f t="shared" si="21"/>
        <v>-583.3394189991876</v>
      </c>
      <c r="AX162" s="118">
        <f t="shared" si="21"/>
        <v>-583.3394189991876</v>
      </c>
      <c r="AY162" s="118">
        <f t="shared" si="21"/>
        <v>-583.3394189991876</v>
      </c>
    </row>
    <row r="163" spans="2:7" ht="14.25" thickBot="1" thickTop="1">
      <c r="B163" s="1" t="s">
        <v>63</v>
      </c>
      <c r="C163" s="86">
        <f>12*IRR(C162:AY162)</f>
        <v>0.22094580660006363</v>
      </c>
      <c r="D163" t="s">
        <v>71</v>
      </c>
      <c r="F163" s="90">
        <f>C$129</f>
        <v>20485</v>
      </c>
      <c r="G163" t="s">
        <v>83</v>
      </c>
    </row>
    <row r="164" spans="2:6" ht="14.25" thickBot="1" thickTop="1">
      <c r="B164" s="1" t="s">
        <v>81</v>
      </c>
      <c r="C164" s="89">
        <f>12*RATE(C$133,D162,C162)</f>
        <v>0.2209458066001765</v>
      </c>
      <c r="D164" s="40" t="s">
        <v>82</v>
      </c>
      <c r="F164" s="87"/>
    </row>
    <row r="165" spans="3:51" s="36" customFormat="1" ht="14.25" thickBot="1" thickTop="1">
      <c r="C165" s="82" t="s">
        <v>58</v>
      </c>
      <c r="D165" s="83">
        <v>1</v>
      </c>
      <c r="E165" s="83">
        <v>2</v>
      </c>
      <c r="F165" s="83">
        <v>3</v>
      </c>
      <c r="G165" s="83">
        <v>4</v>
      </c>
      <c r="H165" s="83">
        <v>5</v>
      </c>
      <c r="I165" s="83">
        <v>6</v>
      </c>
      <c r="J165" s="83">
        <v>7</v>
      </c>
      <c r="K165" s="83">
        <v>8</v>
      </c>
      <c r="L165" s="83">
        <v>9</v>
      </c>
      <c r="M165" s="83">
        <v>10</v>
      </c>
      <c r="N165" s="83">
        <v>11</v>
      </c>
      <c r="O165" s="83">
        <v>12</v>
      </c>
      <c r="P165" s="83">
        <v>13</v>
      </c>
      <c r="Q165" s="83">
        <v>14</v>
      </c>
      <c r="R165" s="83">
        <v>15</v>
      </c>
      <c r="S165" s="83">
        <v>16</v>
      </c>
      <c r="T165" s="83">
        <v>17</v>
      </c>
      <c r="U165" s="83">
        <v>18</v>
      </c>
      <c r="V165" s="83">
        <v>19</v>
      </c>
      <c r="W165" s="83">
        <v>20</v>
      </c>
      <c r="X165" s="83">
        <v>21</v>
      </c>
      <c r="Y165" s="83">
        <v>22</v>
      </c>
      <c r="Z165" s="83">
        <v>23</v>
      </c>
      <c r="AA165" s="83">
        <v>24</v>
      </c>
      <c r="AB165" s="83">
        <v>25</v>
      </c>
      <c r="AC165" s="83">
        <v>26</v>
      </c>
      <c r="AD165" s="83">
        <v>27</v>
      </c>
      <c r="AE165" s="83">
        <v>28</v>
      </c>
      <c r="AF165" s="83">
        <v>29</v>
      </c>
      <c r="AG165" s="83">
        <v>30</v>
      </c>
      <c r="AH165" s="83">
        <v>31</v>
      </c>
      <c r="AI165" s="83">
        <v>32</v>
      </c>
      <c r="AJ165" s="83">
        <v>33</v>
      </c>
      <c r="AK165" s="83">
        <v>34</v>
      </c>
      <c r="AL165" s="83">
        <v>35</v>
      </c>
      <c r="AM165" s="83">
        <v>36</v>
      </c>
      <c r="AN165" s="83">
        <v>37</v>
      </c>
      <c r="AO165" s="83">
        <v>38</v>
      </c>
      <c r="AP165" s="83">
        <v>39</v>
      </c>
      <c r="AQ165" s="83">
        <v>40</v>
      </c>
      <c r="AR165" s="83">
        <v>41</v>
      </c>
      <c r="AS165" s="83">
        <v>42</v>
      </c>
      <c r="AT165" s="83">
        <v>43</v>
      </c>
      <c r="AU165" s="83">
        <v>44</v>
      </c>
      <c r="AV165" s="83">
        <v>45</v>
      </c>
      <c r="AW165" s="83">
        <v>46</v>
      </c>
      <c r="AX165" s="83">
        <v>47</v>
      </c>
      <c r="AY165" s="84">
        <v>48</v>
      </c>
    </row>
    <row r="166" spans="2:51" s="118" customFormat="1" ht="14.25" thickBot="1" thickTop="1">
      <c r="B166" s="116" t="s">
        <v>59</v>
      </c>
      <c r="C166" s="117">
        <f>C131</f>
        <v>23000</v>
      </c>
      <c r="D166" s="116">
        <f>-D$141</f>
        <v>-583.3394189991876</v>
      </c>
      <c r="E166" s="116">
        <f>-E$141</f>
        <v>-583.3394189991876</v>
      </c>
      <c r="F166" s="118">
        <f>-F$141</f>
        <v>-583.3394189991876</v>
      </c>
      <c r="G166" s="118">
        <f>-G$141</f>
        <v>-583.3394189991876</v>
      </c>
      <c r="H166" s="118">
        <f aca="true" t="shared" si="22" ref="H166:AY166">-H$141</f>
        <v>-583.3394189991876</v>
      </c>
      <c r="I166" s="118">
        <f t="shared" si="22"/>
        <v>-583.3394189991876</v>
      </c>
      <c r="J166" s="118">
        <f t="shared" si="22"/>
        <v>-583.3394189991876</v>
      </c>
      <c r="K166" s="118">
        <f t="shared" si="22"/>
        <v>-583.3394189991876</v>
      </c>
      <c r="L166" s="118">
        <f t="shared" si="22"/>
        <v>-583.3394189991876</v>
      </c>
      <c r="M166" s="118">
        <f t="shared" si="22"/>
        <v>-583.3394189991876</v>
      </c>
      <c r="N166" s="118">
        <f t="shared" si="22"/>
        <v>-583.3394189991876</v>
      </c>
      <c r="O166" s="118">
        <f t="shared" si="22"/>
        <v>-583.3394189991876</v>
      </c>
      <c r="P166" s="118">
        <f t="shared" si="22"/>
        <v>-583.3394189991876</v>
      </c>
      <c r="Q166" s="118">
        <f t="shared" si="22"/>
        <v>-583.3394189991876</v>
      </c>
      <c r="R166" s="118">
        <f t="shared" si="22"/>
        <v>-583.3394189991876</v>
      </c>
      <c r="S166" s="118">
        <f t="shared" si="22"/>
        <v>-583.3394189991876</v>
      </c>
      <c r="T166" s="118">
        <f t="shared" si="22"/>
        <v>-583.3394189991876</v>
      </c>
      <c r="U166" s="118">
        <f t="shared" si="22"/>
        <v>-583.3394189991876</v>
      </c>
      <c r="V166" s="118">
        <f t="shared" si="22"/>
        <v>-583.3394189991876</v>
      </c>
      <c r="W166" s="118">
        <f t="shared" si="22"/>
        <v>-583.3394189991876</v>
      </c>
      <c r="X166" s="118">
        <f t="shared" si="22"/>
        <v>-583.3394189991876</v>
      </c>
      <c r="Y166" s="118">
        <f t="shared" si="22"/>
        <v>-583.3394189991876</v>
      </c>
      <c r="Z166" s="118">
        <f t="shared" si="22"/>
        <v>-583.3394189991876</v>
      </c>
      <c r="AA166" s="118">
        <f t="shared" si="22"/>
        <v>-583.3394189991876</v>
      </c>
      <c r="AB166" s="118">
        <f t="shared" si="22"/>
        <v>-583.3394189991876</v>
      </c>
      <c r="AC166" s="118">
        <f t="shared" si="22"/>
        <v>-583.3394189991876</v>
      </c>
      <c r="AD166" s="118">
        <f t="shared" si="22"/>
        <v>-583.3394189991876</v>
      </c>
      <c r="AE166" s="118">
        <f t="shared" si="22"/>
        <v>-583.3394189991876</v>
      </c>
      <c r="AF166" s="118">
        <f t="shared" si="22"/>
        <v>-583.3394189991876</v>
      </c>
      <c r="AG166" s="118">
        <f t="shared" si="22"/>
        <v>-583.3394189991876</v>
      </c>
      <c r="AH166" s="118">
        <f t="shared" si="22"/>
        <v>-583.3394189991876</v>
      </c>
      <c r="AI166" s="118">
        <f t="shared" si="22"/>
        <v>-583.3394189991876</v>
      </c>
      <c r="AJ166" s="118">
        <f t="shared" si="22"/>
        <v>-583.3394189991876</v>
      </c>
      <c r="AK166" s="118">
        <f t="shared" si="22"/>
        <v>-583.3394189991876</v>
      </c>
      <c r="AL166" s="118">
        <f t="shared" si="22"/>
        <v>-583.3394189991876</v>
      </c>
      <c r="AM166" s="118">
        <f t="shared" si="22"/>
        <v>-583.3394189991876</v>
      </c>
      <c r="AN166" s="118">
        <f t="shared" si="22"/>
        <v>-583.3394189991876</v>
      </c>
      <c r="AO166" s="118">
        <f t="shared" si="22"/>
        <v>-583.3394189991876</v>
      </c>
      <c r="AP166" s="118">
        <f t="shared" si="22"/>
        <v>-583.3394189991876</v>
      </c>
      <c r="AQ166" s="118">
        <f t="shared" si="22"/>
        <v>-583.3394189991876</v>
      </c>
      <c r="AR166" s="118">
        <f t="shared" si="22"/>
        <v>-583.3394189991876</v>
      </c>
      <c r="AS166" s="118">
        <f t="shared" si="22"/>
        <v>-583.3394189991876</v>
      </c>
      <c r="AT166" s="118">
        <f t="shared" si="22"/>
        <v>-583.3394189991876</v>
      </c>
      <c r="AU166" s="118">
        <f t="shared" si="22"/>
        <v>-583.3394189991876</v>
      </c>
      <c r="AV166" s="118">
        <f t="shared" si="22"/>
        <v>-583.3394189991876</v>
      </c>
      <c r="AW166" s="118">
        <f t="shared" si="22"/>
        <v>-583.3394189991876</v>
      </c>
      <c r="AX166" s="118">
        <f t="shared" si="22"/>
        <v>-583.3394189991876</v>
      </c>
      <c r="AY166" s="118">
        <f t="shared" si="22"/>
        <v>-583.3394189991876</v>
      </c>
    </row>
    <row r="167" spans="2:7" ht="14.25" thickBot="1" thickTop="1">
      <c r="B167" s="1" t="s">
        <v>63</v>
      </c>
      <c r="C167" s="86">
        <f>12*IRR(C166:AY166,0.05)</f>
        <v>0.10000000000054432</v>
      </c>
      <c r="D167" t="s">
        <v>72</v>
      </c>
      <c r="F167" s="90">
        <f>C$130</f>
        <v>25000</v>
      </c>
      <c r="G167" t="s">
        <v>83</v>
      </c>
    </row>
    <row r="168" spans="2:6" ht="13.5" thickTop="1">
      <c r="B168" s="1" t="s">
        <v>81</v>
      </c>
      <c r="C168" s="89">
        <f>12*RATE(C$133,D166,C166)</f>
        <v>0.10000000000000427</v>
      </c>
      <c r="D168" s="40" t="s">
        <v>82</v>
      </c>
      <c r="F168" s="87"/>
    </row>
    <row r="169" spans="2:6" ht="12.75">
      <c r="B169" s="1"/>
      <c r="C169" s="89"/>
      <c r="F169" s="87"/>
    </row>
    <row r="171" spans="2:3" ht="12.75">
      <c r="B171" s="79" t="s">
        <v>66</v>
      </c>
      <c r="C171" s="80" t="s">
        <v>61</v>
      </c>
    </row>
    <row r="172" ht="12.75">
      <c r="C172" s="80" t="s">
        <v>65</v>
      </c>
    </row>
    <row r="173" ht="12.75">
      <c r="C173" s="1" t="s">
        <v>78</v>
      </c>
    </row>
    <row r="174" ht="12.75">
      <c r="C174" s="1" t="s">
        <v>79</v>
      </c>
    </row>
    <row r="175" ht="13.5" thickBot="1"/>
    <row r="176" spans="3:51" s="36" customFormat="1" ht="14.25" thickBot="1" thickTop="1">
      <c r="C176" s="82" t="s">
        <v>58</v>
      </c>
      <c r="D176" s="83">
        <v>1</v>
      </c>
      <c r="E176" s="83">
        <v>2</v>
      </c>
      <c r="F176" s="83">
        <v>3</v>
      </c>
      <c r="G176" s="83">
        <v>4</v>
      </c>
      <c r="H176" s="83">
        <v>5</v>
      </c>
      <c r="I176" s="83">
        <v>6</v>
      </c>
      <c r="J176" s="83">
        <v>7</v>
      </c>
      <c r="K176" s="83">
        <v>8</v>
      </c>
      <c r="L176" s="83">
        <v>9</v>
      </c>
      <c r="M176" s="83">
        <v>10</v>
      </c>
      <c r="N176" s="83">
        <v>11</v>
      </c>
      <c r="O176" s="83">
        <v>12</v>
      </c>
      <c r="P176" s="83">
        <v>13</v>
      </c>
      <c r="Q176" s="83">
        <v>14</v>
      </c>
      <c r="R176" s="83">
        <v>15</v>
      </c>
      <c r="S176" s="83">
        <v>16</v>
      </c>
      <c r="T176" s="83">
        <v>17</v>
      </c>
      <c r="U176" s="83">
        <v>18</v>
      </c>
      <c r="V176" s="83">
        <v>19</v>
      </c>
      <c r="W176" s="83">
        <v>20</v>
      </c>
      <c r="X176" s="83">
        <v>21</v>
      </c>
      <c r="Y176" s="83">
        <v>22</v>
      </c>
      <c r="Z176" s="83">
        <v>23</v>
      </c>
      <c r="AA176" s="83">
        <v>24</v>
      </c>
      <c r="AB176" s="83">
        <v>25</v>
      </c>
      <c r="AC176" s="83">
        <v>26</v>
      </c>
      <c r="AD176" s="83">
        <v>27</v>
      </c>
      <c r="AE176" s="83">
        <v>28</v>
      </c>
      <c r="AF176" s="83">
        <v>29</v>
      </c>
      <c r="AG176" s="83">
        <v>30</v>
      </c>
      <c r="AH176" s="83">
        <v>31</v>
      </c>
      <c r="AI176" s="83">
        <v>32</v>
      </c>
      <c r="AJ176" s="83">
        <v>33</v>
      </c>
      <c r="AK176" s="83">
        <v>34</v>
      </c>
      <c r="AL176" s="83">
        <v>35</v>
      </c>
      <c r="AM176" s="83">
        <v>36</v>
      </c>
      <c r="AN176" s="83">
        <v>37</v>
      </c>
      <c r="AO176" s="83">
        <v>38</v>
      </c>
      <c r="AP176" s="83">
        <v>39</v>
      </c>
      <c r="AQ176" s="83">
        <v>40</v>
      </c>
      <c r="AR176" s="83">
        <v>41</v>
      </c>
      <c r="AS176" s="83">
        <v>42</v>
      </c>
      <c r="AT176" s="83">
        <v>43</v>
      </c>
      <c r="AU176" s="83">
        <v>44</v>
      </c>
      <c r="AV176" s="83">
        <v>45</v>
      </c>
      <c r="AW176" s="83">
        <v>46</v>
      </c>
      <c r="AX176" s="83">
        <v>47</v>
      </c>
      <c r="AY176" s="84">
        <v>48</v>
      </c>
    </row>
    <row r="177" spans="3:55" s="110" customFormat="1" ht="13.5" thickTop="1">
      <c r="C177" s="110" t="s">
        <v>57</v>
      </c>
      <c r="D177" s="110">
        <f>($C132/12)*$C$131</f>
        <v>191.66666666666666</v>
      </c>
      <c r="E177" s="110">
        <f aca="true" t="shared" si="23" ref="E177:AY177">($C132/12)*$C$131</f>
        <v>191.66666666666666</v>
      </c>
      <c r="F177" s="110">
        <f t="shared" si="23"/>
        <v>191.66666666666666</v>
      </c>
      <c r="G177" s="110">
        <f t="shared" si="23"/>
        <v>191.66666666666666</v>
      </c>
      <c r="H177" s="110">
        <f t="shared" si="23"/>
        <v>191.66666666666666</v>
      </c>
      <c r="I177" s="110">
        <f t="shared" si="23"/>
        <v>191.66666666666666</v>
      </c>
      <c r="J177" s="110">
        <f t="shared" si="23"/>
        <v>191.66666666666666</v>
      </c>
      <c r="K177" s="110">
        <f t="shared" si="23"/>
        <v>191.66666666666666</v>
      </c>
      <c r="L177" s="110">
        <f t="shared" si="23"/>
        <v>191.66666666666666</v>
      </c>
      <c r="M177" s="110">
        <f t="shared" si="23"/>
        <v>191.66666666666666</v>
      </c>
      <c r="N177" s="110">
        <f t="shared" si="23"/>
        <v>191.66666666666666</v>
      </c>
      <c r="O177" s="110">
        <f t="shared" si="23"/>
        <v>191.66666666666666</v>
      </c>
      <c r="P177" s="110">
        <f t="shared" si="23"/>
        <v>191.66666666666666</v>
      </c>
      <c r="Q177" s="110">
        <f t="shared" si="23"/>
        <v>191.66666666666666</v>
      </c>
      <c r="R177" s="110">
        <f t="shared" si="23"/>
        <v>191.66666666666666</v>
      </c>
      <c r="S177" s="110">
        <f t="shared" si="23"/>
        <v>191.66666666666666</v>
      </c>
      <c r="T177" s="110">
        <f t="shared" si="23"/>
        <v>191.66666666666666</v>
      </c>
      <c r="U177" s="110">
        <f t="shared" si="23"/>
        <v>191.66666666666666</v>
      </c>
      <c r="V177" s="110">
        <f t="shared" si="23"/>
        <v>191.66666666666666</v>
      </c>
      <c r="W177" s="110">
        <f t="shared" si="23"/>
        <v>191.66666666666666</v>
      </c>
      <c r="X177" s="110">
        <f t="shared" si="23"/>
        <v>191.66666666666666</v>
      </c>
      <c r="Y177" s="110">
        <f t="shared" si="23"/>
        <v>191.66666666666666</v>
      </c>
      <c r="Z177" s="110">
        <f t="shared" si="23"/>
        <v>191.66666666666666</v>
      </c>
      <c r="AA177" s="110">
        <f t="shared" si="23"/>
        <v>191.66666666666666</v>
      </c>
      <c r="AB177" s="110">
        <f t="shared" si="23"/>
        <v>191.66666666666666</v>
      </c>
      <c r="AC177" s="110">
        <f t="shared" si="23"/>
        <v>191.66666666666666</v>
      </c>
      <c r="AD177" s="110">
        <f t="shared" si="23"/>
        <v>191.66666666666666</v>
      </c>
      <c r="AE177" s="110">
        <f t="shared" si="23"/>
        <v>191.66666666666666</v>
      </c>
      <c r="AF177" s="110">
        <f t="shared" si="23"/>
        <v>191.66666666666666</v>
      </c>
      <c r="AG177" s="110">
        <f t="shared" si="23"/>
        <v>191.66666666666666</v>
      </c>
      <c r="AH177" s="110">
        <f t="shared" si="23"/>
        <v>191.66666666666666</v>
      </c>
      <c r="AI177" s="110">
        <f t="shared" si="23"/>
        <v>191.66666666666666</v>
      </c>
      <c r="AJ177" s="110">
        <f t="shared" si="23"/>
        <v>191.66666666666666</v>
      </c>
      <c r="AK177" s="110">
        <f t="shared" si="23"/>
        <v>191.66666666666666</v>
      </c>
      <c r="AL177" s="110">
        <f t="shared" si="23"/>
        <v>191.66666666666666</v>
      </c>
      <c r="AM177" s="110">
        <f t="shared" si="23"/>
        <v>191.66666666666666</v>
      </c>
      <c r="AN177" s="110">
        <f t="shared" si="23"/>
        <v>191.66666666666666</v>
      </c>
      <c r="AO177" s="110">
        <f t="shared" si="23"/>
        <v>191.66666666666666</v>
      </c>
      <c r="AP177" s="110">
        <f t="shared" si="23"/>
        <v>191.66666666666666</v>
      </c>
      <c r="AQ177" s="110">
        <f t="shared" si="23"/>
        <v>191.66666666666666</v>
      </c>
      <c r="AR177" s="110">
        <f t="shared" si="23"/>
        <v>191.66666666666666</v>
      </c>
      <c r="AS177" s="110">
        <f t="shared" si="23"/>
        <v>191.66666666666666</v>
      </c>
      <c r="AT177" s="110">
        <f t="shared" si="23"/>
        <v>191.66666666666666</v>
      </c>
      <c r="AU177" s="110">
        <f t="shared" si="23"/>
        <v>191.66666666666666</v>
      </c>
      <c r="AV177" s="110">
        <f t="shared" si="23"/>
        <v>191.66666666666666</v>
      </c>
      <c r="AW177" s="110">
        <f t="shared" si="23"/>
        <v>191.66666666666666</v>
      </c>
      <c r="AX177" s="110">
        <f t="shared" si="23"/>
        <v>191.66666666666666</v>
      </c>
      <c r="AY177" s="110">
        <f t="shared" si="23"/>
        <v>191.66666666666666</v>
      </c>
      <c r="AZ177" s="110">
        <f>SUM(D177:AY177)</f>
        <v>9200.000000000002</v>
      </c>
      <c r="BA177" s="111" t="s">
        <v>76</v>
      </c>
      <c r="BB177" s="99"/>
      <c r="BC177" s="99"/>
    </row>
    <row r="178" spans="3:53" s="112" customFormat="1" ht="13.5" thickBot="1">
      <c r="C178" s="113" t="s">
        <v>56</v>
      </c>
      <c r="D178" s="113">
        <f>$C$131/$C$133</f>
        <v>479.1666666666667</v>
      </c>
      <c r="E178" s="113">
        <f aca="true" t="shared" si="24" ref="E178:AY178">$C$131/$C$133</f>
        <v>479.1666666666667</v>
      </c>
      <c r="F178" s="113">
        <f t="shared" si="24"/>
        <v>479.1666666666667</v>
      </c>
      <c r="G178" s="113">
        <f t="shared" si="24"/>
        <v>479.1666666666667</v>
      </c>
      <c r="H178" s="113">
        <f t="shared" si="24"/>
        <v>479.1666666666667</v>
      </c>
      <c r="I178" s="113">
        <f t="shared" si="24"/>
        <v>479.1666666666667</v>
      </c>
      <c r="J178" s="113">
        <f t="shared" si="24"/>
        <v>479.1666666666667</v>
      </c>
      <c r="K178" s="113">
        <f t="shared" si="24"/>
        <v>479.1666666666667</v>
      </c>
      <c r="L178" s="113">
        <f t="shared" si="24"/>
        <v>479.1666666666667</v>
      </c>
      <c r="M178" s="113">
        <f t="shared" si="24"/>
        <v>479.1666666666667</v>
      </c>
      <c r="N178" s="113">
        <f t="shared" si="24"/>
        <v>479.1666666666667</v>
      </c>
      <c r="O178" s="113">
        <f t="shared" si="24"/>
        <v>479.1666666666667</v>
      </c>
      <c r="P178" s="113">
        <f t="shared" si="24"/>
        <v>479.1666666666667</v>
      </c>
      <c r="Q178" s="113">
        <f t="shared" si="24"/>
        <v>479.1666666666667</v>
      </c>
      <c r="R178" s="113">
        <f t="shared" si="24"/>
        <v>479.1666666666667</v>
      </c>
      <c r="S178" s="113">
        <f t="shared" si="24"/>
        <v>479.1666666666667</v>
      </c>
      <c r="T178" s="113">
        <f t="shared" si="24"/>
        <v>479.1666666666667</v>
      </c>
      <c r="U178" s="113">
        <f t="shared" si="24"/>
        <v>479.1666666666667</v>
      </c>
      <c r="V178" s="113">
        <f t="shared" si="24"/>
        <v>479.1666666666667</v>
      </c>
      <c r="W178" s="113">
        <f t="shared" si="24"/>
        <v>479.1666666666667</v>
      </c>
      <c r="X178" s="113">
        <f t="shared" si="24"/>
        <v>479.1666666666667</v>
      </c>
      <c r="Y178" s="113">
        <f t="shared" si="24"/>
        <v>479.1666666666667</v>
      </c>
      <c r="Z178" s="113">
        <f t="shared" si="24"/>
        <v>479.1666666666667</v>
      </c>
      <c r="AA178" s="113">
        <f t="shared" si="24"/>
        <v>479.1666666666667</v>
      </c>
      <c r="AB178" s="113">
        <f t="shared" si="24"/>
        <v>479.1666666666667</v>
      </c>
      <c r="AC178" s="113">
        <f t="shared" si="24"/>
        <v>479.1666666666667</v>
      </c>
      <c r="AD178" s="113">
        <f t="shared" si="24"/>
        <v>479.1666666666667</v>
      </c>
      <c r="AE178" s="113">
        <f t="shared" si="24"/>
        <v>479.1666666666667</v>
      </c>
      <c r="AF178" s="113">
        <f t="shared" si="24"/>
        <v>479.1666666666667</v>
      </c>
      <c r="AG178" s="113">
        <f t="shared" si="24"/>
        <v>479.1666666666667</v>
      </c>
      <c r="AH178" s="113">
        <f t="shared" si="24"/>
        <v>479.1666666666667</v>
      </c>
      <c r="AI178" s="113">
        <f t="shared" si="24"/>
        <v>479.1666666666667</v>
      </c>
      <c r="AJ178" s="113">
        <f t="shared" si="24"/>
        <v>479.1666666666667</v>
      </c>
      <c r="AK178" s="113">
        <f t="shared" si="24"/>
        <v>479.1666666666667</v>
      </c>
      <c r="AL178" s="113">
        <f t="shared" si="24"/>
        <v>479.1666666666667</v>
      </c>
      <c r="AM178" s="113">
        <f t="shared" si="24"/>
        <v>479.1666666666667</v>
      </c>
      <c r="AN178" s="113">
        <f t="shared" si="24"/>
        <v>479.1666666666667</v>
      </c>
      <c r="AO178" s="113">
        <f t="shared" si="24"/>
        <v>479.1666666666667</v>
      </c>
      <c r="AP178" s="113">
        <f t="shared" si="24"/>
        <v>479.1666666666667</v>
      </c>
      <c r="AQ178" s="113">
        <f t="shared" si="24"/>
        <v>479.1666666666667</v>
      </c>
      <c r="AR178" s="113">
        <f t="shared" si="24"/>
        <v>479.1666666666667</v>
      </c>
      <c r="AS178" s="113">
        <f t="shared" si="24"/>
        <v>479.1666666666667</v>
      </c>
      <c r="AT178" s="113">
        <f t="shared" si="24"/>
        <v>479.1666666666667</v>
      </c>
      <c r="AU178" s="113">
        <f t="shared" si="24"/>
        <v>479.1666666666667</v>
      </c>
      <c r="AV178" s="113">
        <f t="shared" si="24"/>
        <v>479.1666666666667</v>
      </c>
      <c r="AW178" s="113">
        <f t="shared" si="24"/>
        <v>479.1666666666667</v>
      </c>
      <c r="AX178" s="113">
        <f t="shared" si="24"/>
        <v>479.1666666666667</v>
      </c>
      <c r="AY178" s="113">
        <f t="shared" si="24"/>
        <v>479.1666666666667</v>
      </c>
      <c r="AZ178" s="112">
        <f>SUM(D178:AY178)</f>
        <v>23000.000000000007</v>
      </c>
      <c r="BA178" s="114" t="s">
        <v>77</v>
      </c>
    </row>
    <row r="179" spans="3:51" s="115" customFormat="1" ht="13.5" thickTop="1">
      <c r="C179" s="115" t="s">
        <v>59</v>
      </c>
      <c r="D179" s="115">
        <f>SUM(D177:D178)</f>
        <v>670.8333333333334</v>
      </c>
      <c r="E179" s="115">
        <f>$D$179</f>
        <v>670.8333333333334</v>
      </c>
      <c r="F179" s="115">
        <f aca="true" t="shared" si="25" ref="F179:AY179">$D$179</f>
        <v>670.8333333333334</v>
      </c>
      <c r="G179" s="115">
        <f t="shared" si="25"/>
        <v>670.8333333333334</v>
      </c>
      <c r="H179" s="115">
        <f t="shared" si="25"/>
        <v>670.8333333333334</v>
      </c>
      <c r="I179" s="115">
        <f t="shared" si="25"/>
        <v>670.8333333333334</v>
      </c>
      <c r="J179" s="115">
        <f t="shared" si="25"/>
        <v>670.8333333333334</v>
      </c>
      <c r="K179" s="115">
        <f t="shared" si="25"/>
        <v>670.8333333333334</v>
      </c>
      <c r="L179" s="115">
        <f t="shared" si="25"/>
        <v>670.8333333333334</v>
      </c>
      <c r="M179" s="115">
        <f t="shared" si="25"/>
        <v>670.8333333333334</v>
      </c>
      <c r="N179" s="115">
        <f t="shared" si="25"/>
        <v>670.8333333333334</v>
      </c>
      <c r="O179" s="115">
        <f t="shared" si="25"/>
        <v>670.8333333333334</v>
      </c>
      <c r="P179" s="115">
        <f t="shared" si="25"/>
        <v>670.8333333333334</v>
      </c>
      <c r="Q179" s="115">
        <f t="shared" si="25"/>
        <v>670.8333333333334</v>
      </c>
      <c r="R179" s="115">
        <f t="shared" si="25"/>
        <v>670.8333333333334</v>
      </c>
      <c r="S179" s="115">
        <f t="shared" si="25"/>
        <v>670.8333333333334</v>
      </c>
      <c r="T179" s="115">
        <f t="shared" si="25"/>
        <v>670.8333333333334</v>
      </c>
      <c r="U179" s="115">
        <f t="shared" si="25"/>
        <v>670.8333333333334</v>
      </c>
      <c r="V179" s="115">
        <f t="shared" si="25"/>
        <v>670.8333333333334</v>
      </c>
      <c r="W179" s="115">
        <f t="shared" si="25"/>
        <v>670.8333333333334</v>
      </c>
      <c r="X179" s="115">
        <f t="shared" si="25"/>
        <v>670.8333333333334</v>
      </c>
      <c r="Y179" s="115">
        <f t="shared" si="25"/>
        <v>670.8333333333334</v>
      </c>
      <c r="Z179" s="115">
        <f t="shared" si="25"/>
        <v>670.8333333333334</v>
      </c>
      <c r="AA179" s="115">
        <f t="shared" si="25"/>
        <v>670.8333333333334</v>
      </c>
      <c r="AB179" s="115">
        <f t="shared" si="25"/>
        <v>670.8333333333334</v>
      </c>
      <c r="AC179" s="115">
        <f t="shared" si="25"/>
        <v>670.8333333333334</v>
      </c>
      <c r="AD179" s="115">
        <f t="shared" si="25"/>
        <v>670.8333333333334</v>
      </c>
      <c r="AE179" s="115">
        <f t="shared" si="25"/>
        <v>670.8333333333334</v>
      </c>
      <c r="AF179" s="115">
        <f t="shared" si="25"/>
        <v>670.8333333333334</v>
      </c>
      <c r="AG179" s="115">
        <f t="shared" si="25"/>
        <v>670.8333333333334</v>
      </c>
      <c r="AH179" s="115">
        <f t="shared" si="25"/>
        <v>670.8333333333334</v>
      </c>
      <c r="AI179" s="115">
        <f t="shared" si="25"/>
        <v>670.8333333333334</v>
      </c>
      <c r="AJ179" s="115">
        <f t="shared" si="25"/>
        <v>670.8333333333334</v>
      </c>
      <c r="AK179" s="115">
        <f t="shared" si="25"/>
        <v>670.8333333333334</v>
      </c>
      <c r="AL179" s="115">
        <f t="shared" si="25"/>
        <v>670.8333333333334</v>
      </c>
      <c r="AM179" s="115">
        <f t="shared" si="25"/>
        <v>670.8333333333334</v>
      </c>
      <c r="AN179" s="115">
        <f t="shared" si="25"/>
        <v>670.8333333333334</v>
      </c>
      <c r="AO179" s="115">
        <f t="shared" si="25"/>
        <v>670.8333333333334</v>
      </c>
      <c r="AP179" s="115">
        <f t="shared" si="25"/>
        <v>670.8333333333334</v>
      </c>
      <c r="AQ179" s="115">
        <f t="shared" si="25"/>
        <v>670.8333333333334</v>
      </c>
      <c r="AR179" s="115">
        <f t="shared" si="25"/>
        <v>670.8333333333334</v>
      </c>
      <c r="AS179" s="115">
        <f t="shared" si="25"/>
        <v>670.8333333333334</v>
      </c>
      <c r="AT179" s="115">
        <f t="shared" si="25"/>
        <v>670.8333333333334</v>
      </c>
      <c r="AU179" s="115">
        <f t="shared" si="25"/>
        <v>670.8333333333334</v>
      </c>
      <c r="AV179" s="115">
        <f t="shared" si="25"/>
        <v>670.8333333333334</v>
      </c>
      <c r="AW179" s="115">
        <f t="shared" si="25"/>
        <v>670.8333333333334</v>
      </c>
      <c r="AX179" s="115">
        <f t="shared" si="25"/>
        <v>670.8333333333334</v>
      </c>
      <c r="AY179" s="115">
        <f t="shared" si="25"/>
        <v>670.8333333333334</v>
      </c>
    </row>
    <row r="180" s="81" customFormat="1" ht="12.75"/>
    <row r="181" s="81" customFormat="1" ht="12.75"/>
    <row r="182" s="81" customFormat="1" ht="12.75"/>
    <row r="183" s="81" customFormat="1" ht="12.75"/>
    <row r="184" s="81" customFormat="1" ht="12.75"/>
    <row r="185" s="81" customFormat="1" ht="12.75"/>
    <row r="186" s="81" customFormat="1" ht="12.75"/>
    <row r="187" s="81" customFormat="1" ht="12.75"/>
    <row r="188" s="81" customFormat="1" ht="12.75"/>
    <row r="189" s="81" customFormat="1" ht="12.75"/>
    <row r="190" s="81" customFormat="1" ht="12.75"/>
    <row r="191" s="81" customFormat="1" ht="12.75"/>
    <row r="192" s="81" customFormat="1" ht="12.75"/>
    <row r="193" s="81" customFormat="1" ht="12.75"/>
    <row r="195" spans="2:56" ht="12.75">
      <c r="B195" s="79" t="s">
        <v>67</v>
      </c>
      <c r="C195" s="80" t="s">
        <v>68</v>
      </c>
      <c r="BC195" t="s">
        <v>7</v>
      </c>
      <c r="BD195" t="s">
        <v>7</v>
      </c>
    </row>
    <row r="196" ht="12.75">
      <c r="C196" s="80" t="s">
        <v>69</v>
      </c>
    </row>
    <row r="197" ht="12.75">
      <c r="C197" s="85" t="s">
        <v>62</v>
      </c>
    </row>
    <row r="198" ht="13.5" thickBot="1"/>
    <row r="199" spans="3:51" s="36" customFormat="1" ht="14.25" thickBot="1" thickTop="1">
      <c r="C199" s="82" t="s">
        <v>58</v>
      </c>
      <c r="D199" s="83">
        <v>1</v>
      </c>
      <c r="E199" s="83">
        <v>2</v>
      </c>
      <c r="F199" s="83">
        <v>3</v>
      </c>
      <c r="G199" s="83">
        <v>4</v>
      </c>
      <c r="H199" s="83">
        <v>5</v>
      </c>
      <c r="I199" s="83">
        <v>6</v>
      </c>
      <c r="J199" s="83">
        <v>7</v>
      </c>
      <c r="K199" s="83">
        <v>8</v>
      </c>
      <c r="L199" s="83">
        <v>9</v>
      </c>
      <c r="M199" s="83">
        <v>10</v>
      </c>
      <c r="N199" s="83">
        <v>11</v>
      </c>
      <c r="O199" s="83">
        <v>12</v>
      </c>
      <c r="P199" s="83">
        <v>13</v>
      </c>
      <c r="Q199" s="83">
        <v>14</v>
      </c>
      <c r="R199" s="83">
        <v>15</v>
      </c>
      <c r="S199" s="83">
        <v>16</v>
      </c>
      <c r="T199" s="83">
        <v>17</v>
      </c>
      <c r="U199" s="83">
        <v>18</v>
      </c>
      <c r="V199" s="83">
        <v>19</v>
      </c>
      <c r="W199" s="83">
        <v>20</v>
      </c>
      <c r="X199" s="83">
        <v>21</v>
      </c>
      <c r="Y199" s="83">
        <v>22</v>
      </c>
      <c r="Z199" s="83">
        <v>23</v>
      </c>
      <c r="AA199" s="83">
        <v>24</v>
      </c>
      <c r="AB199" s="83">
        <v>25</v>
      </c>
      <c r="AC199" s="83">
        <v>26</v>
      </c>
      <c r="AD199" s="83">
        <v>27</v>
      </c>
      <c r="AE199" s="83">
        <v>28</v>
      </c>
      <c r="AF199" s="83">
        <v>29</v>
      </c>
      <c r="AG199" s="83">
        <v>30</v>
      </c>
      <c r="AH199" s="83">
        <v>31</v>
      </c>
      <c r="AI199" s="83">
        <v>32</v>
      </c>
      <c r="AJ199" s="83">
        <v>33</v>
      </c>
      <c r="AK199" s="83">
        <v>34</v>
      </c>
      <c r="AL199" s="83">
        <v>35</v>
      </c>
      <c r="AM199" s="83">
        <v>36</v>
      </c>
      <c r="AN199" s="83">
        <v>37</v>
      </c>
      <c r="AO199" s="83">
        <v>38</v>
      </c>
      <c r="AP199" s="83">
        <v>39</v>
      </c>
      <c r="AQ199" s="83">
        <v>40</v>
      </c>
      <c r="AR199" s="83">
        <v>41</v>
      </c>
      <c r="AS199" s="83">
        <v>42</v>
      </c>
      <c r="AT199" s="83">
        <v>43</v>
      </c>
      <c r="AU199" s="83">
        <v>44</v>
      </c>
      <c r="AV199" s="83">
        <v>45</v>
      </c>
      <c r="AW199" s="83">
        <v>46</v>
      </c>
      <c r="AX199" s="83">
        <v>47</v>
      </c>
      <c r="AY199" s="84">
        <v>48</v>
      </c>
    </row>
    <row r="200" spans="2:51" s="116" customFormat="1" ht="14.25" thickBot="1" thickTop="1">
      <c r="B200" s="116" t="s">
        <v>59</v>
      </c>
      <c r="C200" s="116">
        <f>(C$129-(C$130-C$131))</f>
        <v>18485</v>
      </c>
      <c r="D200" s="116">
        <f>-D$179</f>
        <v>-670.8333333333334</v>
      </c>
      <c r="E200" s="116">
        <f>-E$179</f>
        <v>-670.8333333333334</v>
      </c>
      <c r="F200" s="116">
        <f>-F$179</f>
        <v>-670.8333333333334</v>
      </c>
      <c r="G200" s="116">
        <f aca="true" t="shared" si="26" ref="G200:AY200">-G$179</f>
        <v>-670.8333333333334</v>
      </c>
      <c r="H200" s="116">
        <f t="shared" si="26"/>
        <v>-670.8333333333334</v>
      </c>
      <c r="I200" s="116">
        <f t="shared" si="26"/>
        <v>-670.8333333333334</v>
      </c>
      <c r="J200" s="116">
        <f t="shared" si="26"/>
        <v>-670.8333333333334</v>
      </c>
      <c r="K200" s="116">
        <f t="shared" si="26"/>
        <v>-670.8333333333334</v>
      </c>
      <c r="L200" s="116">
        <f t="shared" si="26"/>
        <v>-670.8333333333334</v>
      </c>
      <c r="M200" s="116">
        <f t="shared" si="26"/>
        <v>-670.8333333333334</v>
      </c>
      <c r="N200" s="116">
        <f t="shared" si="26"/>
        <v>-670.8333333333334</v>
      </c>
      <c r="O200" s="116">
        <f t="shared" si="26"/>
        <v>-670.8333333333334</v>
      </c>
      <c r="P200" s="116">
        <f t="shared" si="26"/>
        <v>-670.8333333333334</v>
      </c>
      <c r="Q200" s="116">
        <f t="shared" si="26"/>
        <v>-670.8333333333334</v>
      </c>
      <c r="R200" s="116">
        <f t="shared" si="26"/>
        <v>-670.8333333333334</v>
      </c>
      <c r="S200" s="116">
        <f t="shared" si="26"/>
        <v>-670.8333333333334</v>
      </c>
      <c r="T200" s="116">
        <f t="shared" si="26"/>
        <v>-670.8333333333334</v>
      </c>
      <c r="U200" s="116">
        <f t="shared" si="26"/>
        <v>-670.8333333333334</v>
      </c>
      <c r="V200" s="116">
        <f t="shared" si="26"/>
        <v>-670.8333333333334</v>
      </c>
      <c r="W200" s="116">
        <f t="shared" si="26"/>
        <v>-670.8333333333334</v>
      </c>
      <c r="X200" s="116">
        <f t="shared" si="26"/>
        <v>-670.8333333333334</v>
      </c>
      <c r="Y200" s="116">
        <f t="shared" si="26"/>
        <v>-670.8333333333334</v>
      </c>
      <c r="Z200" s="116">
        <f t="shared" si="26"/>
        <v>-670.8333333333334</v>
      </c>
      <c r="AA200" s="116">
        <f t="shared" si="26"/>
        <v>-670.8333333333334</v>
      </c>
      <c r="AB200" s="116">
        <f t="shared" si="26"/>
        <v>-670.8333333333334</v>
      </c>
      <c r="AC200" s="116">
        <f t="shared" si="26"/>
        <v>-670.8333333333334</v>
      </c>
      <c r="AD200" s="116">
        <f t="shared" si="26"/>
        <v>-670.8333333333334</v>
      </c>
      <c r="AE200" s="116">
        <f t="shared" si="26"/>
        <v>-670.8333333333334</v>
      </c>
      <c r="AF200" s="116">
        <f t="shared" si="26"/>
        <v>-670.8333333333334</v>
      </c>
      <c r="AG200" s="116">
        <f t="shared" si="26"/>
        <v>-670.8333333333334</v>
      </c>
      <c r="AH200" s="116">
        <f t="shared" si="26"/>
        <v>-670.8333333333334</v>
      </c>
      <c r="AI200" s="116">
        <f t="shared" si="26"/>
        <v>-670.8333333333334</v>
      </c>
      <c r="AJ200" s="116">
        <f t="shared" si="26"/>
        <v>-670.8333333333334</v>
      </c>
      <c r="AK200" s="116">
        <f t="shared" si="26"/>
        <v>-670.8333333333334</v>
      </c>
      <c r="AL200" s="116">
        <f t="shared" si="26"/>
        <v>-670.8333333333334</v>
      </c>
      <c r="AM200" s="116">
        <f t="shared" si="26"/>
        <v>-670.8333333333334</v>
      </c>
      <c r="AN200" s="116">
        <f t="shared" si="26"/>
        <v>-670.8333333333334</v>
      </c>
      <c r="AO200" s="116">
        <f t="shared" si="26"/>
        <v>-670.8333333333334</v>
      </c>
      <c r="AP200" s="116">
        <f t="shared" si="26"/>
        <v>-670.8333333333334</v>
      </c>
      <c r="AQ200" s="116">
        <f t="shared" si="26"/>
        <v>-670.8333333333334</v>
      </c>
      <c r="AR200" s="116">
        <f t="shared" si="26"/>
        <v>-670.8333333333334</v>
      </c>
      <c r="AS200" s="116">
        <f t="shared" si="26"/>
        <v>-670.8333333333334</v>
      </c>
      <c r="AT200" s="116">
        <f t="shared" si="26"/>
        <v>-670.8333333333334</v>
      </c>
      <c r="AU200" s="116">
        <f t="shared" si="26"/>
        <v>-670.8333333333334</v>
      </c>
      <c r="AV200" s="116">
        <f t="shared" si="26"/>
        <v>-670.8333333333334</v>
      </c>
      <c r="AW200" s="116">
        <f t="shared" si="26"/>
        <v>-670.8333333333334</v>
      </c>
      <c r="AX200" s="116">
        <f t="shared" si="26"/>
        <v>-670.8333333333334</v>
      </c>
      <c r="AY200" s="116">
        <f t="shared" si="26"/>
        <v>-670.8333333333334</v>
      </c>
    </row>
    <row r="201" spans="2:7" ht="14.25" thickBot="1" thickTop="1">
      <c r="B201" s="1" t="s">
        <v>63</v>
      </c>
      <c r="C201" s="86">
        <f>12*IRR(C200:AY200)</f>
        <v>0.3048853283605737</v>
      </c>
      <c r="D201" t="s">
        <v>71</v>
      </c>
      <c r="F201" s="90">
        <f>C$129</f>
        <v>20485</v>
      </c>
      <c r="G201" t="s">
        <v>83</v>
      </c>
    </row>
    <row r="202" spans="2:6" ht="14.25" thickBot="1" thickTop="1">
      <c r="B202" s="1" t="s">
        <v>81</v>
      </c>
      <c r="C202" s="89">
        <f>12*RATE(C$133,D200,C200)</f>
        <v>0.3048853283596691</v>
      </c>
      <c r="D202" s="40" t="s">
        <v>82</v>
      </c>
      <c r="F202" s="87" t="s">
        <v>7</v>
      </c>
    </row>
    <row r="203" spans="3:51" s="36" customFormat="1" ht="14.25" thickBot="1" thickTop="1">
      <c r="C203" s="82" t="s">
        <v>58</v>
      </c>
      <c r="D203" s="83">
        <v>1</v>
      </c>
      <c r="E203" s="83">
        <v>2</v>
      </c>
      <c r="F203" s="83">
        <v>3</v>
      </c>
      <c r="G203" s="83">
        <v>4</v>
      </c>
      <c r="H203" s="83">
        <v>5</v>
      </c>
      <c r="I203" s="83">
        <v>6</v>
      </c>
      <c r="J203" s="83">
        <v>7</v>
      </c>
      <c r="K203" s="83">
        <v>8</v>
      </c>
      <c r="L203" s="83">
        <v>9</v>
      </c>
      <c r="M203" s="83">
        <v>10</v>
      </c>
      <c r="N203" s="83">
        <v>11</v>
      </c>
      <c r="O203" s="83">
        <v>12</v>
      </c>
      <c r="P203" s="83">
        <v>13</v>
      </c>
      <c r="Q203" s="83">
        <v>14</v>
      </c>
      <c r="R203" s="83">
        <v>15</v>
      </c>
      <c r="S203" s="83">
        <v>16</v>
      </c>
      <c r="T203" s="83">
        <v>17</v>
      </c>
      <c r="U203" s="83">
        <v>18</v>
      </c>
      <c r="V203" s="83">
        <v>19</v>
      </c>
      <c r="W203" s="83">
        <v>20</v>
      </c>
      <c r="X203" s="83">
        <v>21</v>
      </c>
      <c r="Y203" s="83">
        <v>22</v>
      </c>
      <c r="Z203" s="83">
        <v>23</v>
      </c>
      <c r="AA203" s="83">
        <v>24</v>
      </c>
      <c r="AB203" s="83">
        <v>25</v>
      </c>
      <c r="AC203" s="83">
        <v>26</v>
      </c>
      <c r="AD203" s="83">
        <v>27</v>
      </c>
      <c r="AE203" s="83">
        <v>28</v>
      </c>
      <c r="AF203" s="83">
        <v>29</v>
      </c>
      <c r="AG203" s="83">
        <v>30</v>
      </c>
      <c r="AH203" s="83">
        <v>31</v>
      </c>
      <c r="AI203" s="83">
        <v>32</v>
      </c>
      <c r="AJ203" s="83">
        <v>33</v>
      </c>
      <c r="AK203" s="83">
        <v>34</v>
      </c>
      <c r="AL203" s="83">
        <v>35</v>
      </c>
      <c r="AM203" s="83">
        <v>36</v>
      </c>
      <c r="AN203" s="83">
        <v>37</v>
      </c>
      <c r="AO203" s="83">
        <v>38</v>
      </c>
      <c r="AP203" s="83">
        <v>39</v>
      </c>
      <c r="AQ203" s="83">
        <v>40</v>
      </c>
      <c r="AR203" s="83">
        <v>41</v>
      </c>
      <c r="AS203" s="83">
        <v>42</v>
      </c>
      <c r="AT203" s="83">
        <v>43</v>
      </c>
      <c r="AU203" s="83">
        <v>44</v>
      </c>
      <c r="AV203" s="83">
        <v>45</v>
      </c>
      <c r="AW203" s="83">
        <v>46</v>
      </c>
      <c r="AX203" s="83">
        <v>47</v>
      </c>
      <c r="AY203" s="84">
        <v>48</v>
      </c>
    </row>
    <row r="204" spans="2:51" s="116" customFormat="1" ht="14.25" thickBot="1" thickTop="1">
      <c r="B204" s="116" t="s">
        <v>59</v>
      </c>
      <c r="C204" s="116">
        <f>C166</f>
        <v>23000</v>
      </c>
      <c r="D204" s="116">
        <f aca="true" t="shared" si="27" ref="D204:AY204">-D$179</f>
        <v>-670.8333333333334</v>
      </c>
      <c r="E204" s="116">
        <f t="shared" si="27"/>
        <v>-670.8333333333334</v>
      </c>
      <c r="F204" s="116">
        <f t="shared" si="27"/>
        <v>-670.8333333333334</v>
      </c>
      <c r="G204" s="116">
        <f t="shared" si="27"/>
        <v>-670.8333333333334</v>
      </c>
      <c r="H204" s="116">
        <f t="shared" si="27"/>
        <v>-670.8333333333334</v>
      </c>
      <c r="I204" s="116">
        <f t="shared" si="27"/>
        <v>-670.8333333333334</v>
      </c>
      <c r="J204" s="116">
        <f t="shared" si="27"/>
        <v>-670.8333333333334</v>
      </c>
      <c r="K204" s="116">
        <f t="shared" si="27"/>
        <v>-670.8333333333334</v>
      </c>
      <c r="L204" s="116">
        <f t="shared" si="27"/>
        <v>-670.8333333333334</v>
      </c>
      <c r="M204" s="116">
        <f t="shared" si="27"/>
        <v>-670.8333333333334</v>
      </c>
      <c r="N204" s="116">
        <f t="shared" si="27"/>
        <v>-670.8333333333334</v>
      </c>
      <c r="O204" s="116">
        <f t="shared" si="27"/>
        <v>-670.8333333333334</v>
      </c>
      <c r="P204" s="116">
        <f t="shared" si="27"/>
        <v>-670.8333333333334</v>
      </c>
      <c r="Q204" s="116">
        <f t="shared" si="27"/>
        <v>-670.8333333333334</v>
      </c>
      <c r="R204" s="116">
        <f t="shared" si="27"/>
        <v>-670.8333333333334</v>
      </c>
      <c r="S204" s="116">
        <f t="shared" si="27"/>
        <v>-670.8333333333334</v>
      </c>
      <c r="T204" s="116">
        <f t="shared" si="27"/>
        <v>-670.8333333333334</v>
      </c>
      <c r="U204" s="116">
        <f t="shared" si="27"/>
        <v>-670.8333333333334</v>
      </c>
      <c r="V204" s="116">
        <f t="shared" si="27"/>
        <v>-670.8333333333334</v>
      </c>
      <c r="W204" s="116">
        <f t="shared" si="27"/>
        <v>-670.8333333333334</v>
      </c>
      <c r="X204" s="116">
        <f t="shared" si="27"/>
        <v>-670.8333333333334</v>
      </c>
      <c r="Y204" s="116">
        <f t="shared" si="27"/>
        <v>-670.8333333333334</v>
      </c>
      <c r="Z204" s="116">
        <f t="shared" si="27"/>
        <v>-670.8333333333334</v>
      </c>
      <c r="AA204" s="116">
        <f t="shared" si="27"/>
        <v>-670.8333333333334</v>
      </c>
      <c r="AB204" s="116">
        <f t="shared" si="27"/>
        <v>-670.8333333333334</v>
      </c>
      <c r="AC204" s="116">
        <f t="shared" si="27"/>
        <v>-670.8333333333334</v>
      </c>
      <c r="AD204" s="116">
        <f t="shared" si="27"/>
        <v>-670.8333333333334</v>
      </c>
      <c r="AE204" s="116">
        <f t="shared" si="27"/>
        <v>-670.8333333333334</v>
      </c>
      <c r="AF204" s="116">
        <f t="shared" si="27"/>
        <v>-670.8333333333334</v>
      </c>
      <c r="AG204" s="116">
        <f t="shared" si="27"/>
        <v>-670.8333333333334</v>
      </c>
      <c r="AH204" s="116">
        <f t="shared" si="27"/>
        <v>-670.8333333333334</v>
      </c>
      <c r="AI204" s="116">
        <f t="shared" si="27"/>
        <v>-670.8333333333334</v>
      </c>
      <c r="AJ204" s="116">
        <f t="shared" si="27"/>
        <v>-670.8333333333334</v>
      </c>
      <c r="AK204" s="116">
        <f t="shared" si="27"/>
        <v>-670.8333333333334</v>
      </c>
      <c r="AL204" s="116">
        <f t="shared" si="27"/>
        <v>-670.8333333333334</v>
      </c>
      <c r="AM204" s="116">
        <f t="shared" si="27"/>
        <v>-670.8333333333334</v>
      </c>
      <c r="AN204" s="116">
        <f t="shared" si="27"/>
        <v>-670.8333333333334</v>
      </c>
      <c r="AO204" s="116">
        <f t="shared" si="27"/>
        <v>-670.8333333333334</v>
      </c>
      <c r="AP204" s="116">
        <f t="shared" si="27"/>
        <v>-670.8333333333334</v>
      </c>
      <c r="AQ204" s="116">
        <f t="shared" si="27"/>
        <v>-670.8333333333334</v>
      </c>
      <c r="AR204" s="116">
        <f t="shared" si="27"/>
        <v>-670.8333333333334</v>
      </c>
      <c r="AS204" s="116">
        <f t="shared" si="27"/>
        <v>-670.8333333333334</v>
      </c>
      <c r="AT204" s="116">
        <f t="shared" si="27"/>
        <v>-670.8333333333334</v>
      </c>
      <c r="AU204" s="116">
        <f t="shared" si="27"/>
        <v>-670.8333333333334</v>
      </c>
      <c r="AV204" s="116">
        <f t="shared" si="27"/>
        <v>-670.8333333333334</v>
      </c>
      <c r="AW204" s="116">
        <f t="shared" si="27"/>
        <v>-670.8333333333334</v>
      </c>
      <c r="AX204" s="116">
        <f t="shared" si="27"/>
        <v>-670.8333333333334</v>
      </c>
      <c r="AY204" s="116">
        <f t="shared" si="27"/>
        <v>-670.8333333333334</v>
      </c>
    </row>
    <row r="205" spans="2:7" ht="14.25" thickBot="1" thickTop="1">
      <c r="B205" s="1" t="s">
        <v>63</v>
      </c>
      <c r="C205" s="86">
        <f>12*IRR(C204:AY204,0.05)</f>
        <v>0.17600521244806597</v>
      </c>
      <c r="D205" t="s">
        <v>72</v>
      </c>
      <c r="F205" s="90">
        <f>C$130</f>
        <v>25000</v>
      </c>
      <c r="G205" t="s">
        <v>83</v>
      </c>
    </row>
    <row r="206" spans="2:4" ht="13.5" thickTop="1">
      <c r="B206" s="1" t="s">
        <v>81</v>
      </c>
      <c r="C206" s="89">
        <f>12*RATE(C$133,D204,C204)</f>
        <v>0.17600521244762615</v>
      </c>
      <c r="D206" s="40" t="s">
        <v>82</v>
      </c>
    </row>
    <row r="207" spans="2:4" ht="12.75">
      <c r="B207" s="1"/>
      <c r="C207" s="89"/>
      <c r="D207" s="40"/>
    </row>
    <row r="208" ht="12.75">
      <c r="C208" t="s">
        <v>75</v>
      </c>
    </row>
    <row r="209" ht="12.75">
      <c r="D209" t="s">
        <v>80</v>
      </c>
    </row>
    <row r="211" ht="12.75">
      <c r="D211" t="s">
        <v>73</v>
      </c>
    </row>
    <row r="212" ht="12.75">
      <c r="E212" t="s">
        <v>74</v>
      </c>
    </row>
    <row r="214" spans="1:17" ht="12.7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</row>
    <row r="215" ht="12.75" customHeight="1"/>
    <row r="216" ht="12.75" customHeight="1">
      <c r="A216" s="76" t="s">
        <v>84</v>
      </c>
    </row>
    <row r="217" ht="12.75" customHeight="1">
      <c r="A217" s="76"/>
    </row>
    <row r="218" spans="1:4" ht="12.75" customHeight="1">
      <c r="A218" s="76"/>
      <c r="B218" s="79" t="s">
        <v>55</v>
      </c>
      <c r="C218" s="106">
        <f>C129</f>
        <v>20485</v>
      </c>
      <c r="D218" s="107" t="s">
        <v>50</v>
      </c>
    </row>
    <row r="219" spans="1:4" ht="12.75" customHeight="1">
      <c r="A219" s="76"/>
      <c r="C219" s="77">
        <v>25000</v>
      </c>
      <c r="D219" t="s">
        <v>51</v>
      </c>
    </row>
    <row r="220" spans="1:4" ht="12.75" customHeight="1">
      <c r="A220" s="76"/>
      <c r="C220" s="77">
        <v>23000</v>
      </c>
      <c r="D220" t="s">
        <v>52</v>
      </c>
    </row>
    <row r="221" spans="1:4" ht="12.75" customHeight="1">
      <c r="A221" s="76"/>
      <c r="C221" s="77">
        <f>D179</f>
        <v>670.8333333333334</v>
      </c>
      <c r="D221" t="s">
        <v>86</v>
      </c>
    </row>
    <row r="222" spans="1:4" ht="12.75" customHeight="1">
      <c r="A222" s="76"/>
      <c r="C222" s="77">
        <v>471</v>
      </c>
      <c r="D222" t="s">
        <v>85</v>
      </c>
    </row>
    <row r="223" spans="1:4" ht="12.75" customHeight="1">
      <c r="A223" s="76"/>
      <c r="C223" s="78">
        <v>60</v>
      </c>
      <c r="D223" t="s">
        <v>54</v>
      </c>
    </row>
    <row r="224" spans="1:4" ht="12.75" customHeight="1">
      <c r="A224" s="76"/>
      <c r="C224" s="102">
        <v>0.1</v>
      </c>
      <c r="D224" s="103" t="s">
        <v>106</v>
      </c>
    </row>
    <row r="225" ht="12.75" customHeight="1">
      <c r="A225" s="76"/>
    </row>
    <row r="226" spans="1:3" ht="12.75" customHeight="1">
      <c r="A226" s="76"/>
      <c r="C226" s="1" t="s">
        <v>100</v>
      </c>
    </row>
    <row r="227" ht="12.75" customHeight="1" thickBot="1">
      <c r="A227" s="76"/>
    </row>
    <row r="228" spans="1:4" ht="12.75" customHeight="1" thickBot="1" thickTop="1">
      <c r="A228" s="76"/>
      <c r="C228" s="100" t="str">
        <f>IF(D228=0.1,"Seed IRR = ","IRR = ")</f>
        <v>Seed IRR = </v>
      </c>
      <c r="D228" s="98">
        <v>0.1</v>
      </c>
    </row>
    <row r="229" spans="1:8" ht="12.75" customHeight="1" thickTop="1">
      <c r="A229" s="76"/>
      <c r="C229" s="36" t="s">
        <v>88</v>
      </c>
      <c r="D229" s="94">
        <f>PV(D$228/12,36,C$221)</f>
        <v>-20789.953871822112</v>
      </c>
      <c r="E229" t="s">
        <v>92</v>
      </c>
      <c r="H229" s="95">
        <f>C221</f>
        <v>670.8333333333334</v>
      </c>
    </row>
    <row r="230" spans="1:8" ht="12.75" customHeight="1">
      <c r="A230" s="76"/>
      <c r="C230" s="36" t="s">
        <v>89</v>
      </c>
      <c r="D230" s="94">
        <f>PV(D$228/12,24,C$222)</f>
        <v>-10206.972626957433</v>
      </c>
      <c r="H230" s="65"/>
    </row>
    <row r="231" spans="1:8" ht="12.75" customHeight="1" thickBot="1">
      <c r="A231" s="76"/>
      <c r="C231" s="36" t="s">
        <v>90</v>
      </c>
      <c r="D231" s="94">
        <f>PV(D$228/12,36,,-D$230)</f>
        <v>-7570.916849499098</v>
      </c>
      <c r="E231" t="s">
        <v>93</v>
      </c>
      <c r="H231" s="95">
        <f>C222</f>
        <v>471</v>
      </c>
    </row>
    <row r="232" spans="1:5" ht="12.75" customHeight="1" thickBot="1" thickTop="1">
      <c r="A232" s="76"/>
      <c r="C232" s="108" t="s">
        <v>91</v>
      </c>
      <c r="D232" s="28">
        <f>D229+D231</f>
        <v>-28360.87072132121</v>
      </c>
      <c r="E232" t="s">
        <v>94</v>
      </c>
    </row>
    <row r="233" spans="1:5" ht="12.75" customHeight="1" thickTop="1">
      <c r="A233" s="76"/>
      <c r="C233" s="104" t="s">
        <v>102</v>
      </c>
      <c r="D233" s="105">
        <f>(C$218-(C$219-C$220))+D232</f>
        <v>-9875.870721321211</v>
      </c>
      <c r="E233" t="s">
        <v>103</v>
      </c>
    </row>
    <row r="234" spans="1:4" ht="12.75" customHeight="1">
      <c r="A234" s="76"/>
      <c r="C234" s="104"/>
      <c r="D234" s="105"/>
    </row>
    <row r="235" spans="1:4" ht="12.75" customHeight="1">
      <c r="A235" s="76"/>
      <c r="C235" s="1" t="s">
        <v>101</v>
      </c>
      <c r="D235" s="105"/>
    </row>
    <row r="236" ht="12.75" customHeight="1" thickBot="1">
      <c r="A236" s="76"/>
    </row>
    <row r="237" spans="3:63" s="36" customFormat="1" ht="14.25" thickBot="1" thickTop="1">
      <c r="C237" s="82" t="s">
        <v>58</v>
      </c>
      <c r="D237" s="83">
        <v>1</v>
      </c>
      <c r="E237" s="83">
        <v>2</v>
      </c>
      <c r="F237" s="83">
        <v>3</v>
      </c>
      <c r="G237" s="83">
        <v>4</v>
      </c>
      <c r="H237" s="83">
        <v>5</v>
      </c>
      <c r="I237" s="83">
        <v>6</v>
      </c>
      <c r="J237" s="83">
        <v>7</v>
      </c>
      <c r="K237" s="83">
        <v>8</v>
      </c>
      <c r="L237" s="83">
        <v>9</v>
      </c>
      <c r="M237" s="83">
        <v>10</v>
      </c>
      <c r="N237" s="83">
        <v>11</v>
      </c>
      <c r="O237" s="83">
        <v>12</v>
      </c>
      <c r="P237" s="83">
        <v>13</v>
      </c>
      <c r="Q237" s="83">
        <v>14</v>
      </c>
      <c r="R237" s="83">
        <v>15</v>
      </c>
      <c r="S237" s="83">
        <v>16</v>
      </c>
      <c r="T237" s="83">
        <v>17</v>
      </c>
      <c r="U237" s="83">
        <v>18</v>
      </c>
      <c r="V237" s="83">
        <v>19</v>
      </c>
      <c r="W237" s="83">
        <v>20</v>
      </c>
      <c r="X237" s="83">
        <v>21</v>
      </c>
      <c r="Y237" s="83">
        <v>22</v>
      </c>
      <c r="Z237" s="83">
        <v>23</v>
      </c>
      <c r="AA237" s="83">
        <v>24</v>
      </c>
      <c r="AB237" s="83">
        <v>25</v>
      </c>
      <c r="AC237" s="83">
        <v>26</v>
      </c>
      <c r="AD237" s="83">
        <v>27</v>
      </c>
      <c r="AE237" s="83">
        <v>28</v>
      </c>
      <c r="AF237" s="83">
        <v>29</v>
      </c>
      <c r="AG237" s="83">
        <v>30</v>
      </c>
      <c r="AH237" s="83">
        <v>31</v>
      </c>
      <c r="AI237" s="83">
        <v>32</v>
      </c>
      <c r="AJ237" s="83">
        <v>33</v>
      </c>
      <c r="AK237" s="83">
        <v>34</v>
      </c>
      <c r="AL237" s="83">
        <v>35</v>
      </c>
      <c r="AM237" s="83">
        <v>36</v>
      </c>
      <c r="AN237" s="83">
        <v>37</v>
      </c>
      <c r="AO237" s="83">
        <v>38</v>
      </c>
      <c r="AP237" s="83">
        <v>39</v>
      </c>
      <c r="AQ237" s="83">
        <v>40</v>
      </c>
      <c r="AR237" s="83">
        <v>41</v>
      </c>
      <c r="AS237" s="83">
        <v>42</v>
      </c>
      <c r="AT237" s="83">
        <v>43</v>
      </c>
      <c r="AU237" s="83">
        <v>44</v>
      </c>
      <c r="AV237" s="83">
        <v>45</v>
      </c>
      <c r="AW237" s="83">
        <v>46</v>
      </c>
      <c r="AX237" s="83">
        <v>47</v>
      </c>
      <c r="AY237" s="83">
        <v>48</v>
      </c>
      <c r="AZ237" s="83">
        <v>49</v>
      </c>
      <c r="BA237" s="83">
        <v>50</v>
      </c>
      <c r="BB237" s="83">
        <v>51</v>
      </c>
      <c r="BC237" s="83">
        <v>52</v>
      </c>
      <c r="BD237" s="83">
        <v>53</v>
      </c>
      <c r="BE237" s="83">
        <v>54</v>
      </c>
      <c r="BF237" s="83">
        <v>55</v>
      </c>
      <c r="BG237" s="83">
        <v>56</v>
      </c>
      <c r="BH237" s="83">
        <v>57</v>
      </c>
      <c r="BI237" s="83">
        <v>58</v>
      </c>
      <c r="BJ237" s="83">
        <v>59</v>
      </c>
      <c r="BK237" s="84">
        <v>60</v>
      </c>
    </row>
    <row r="238" spans="2:63" s="119" customFormat="1" ht="13.5" thickTop="1">
      <c r="B238" s="119" t="s">
        <v>7</v>
      </c>
      <c r="C238" s="119">
        <f>(C$218-(C$219-C$220))</f>
        <v>18485</v>
      </c>
      <c r="D238" s="119">
        <f>-$C$221</f>
        <v>-670.8333333333334</v>
      </c>
      <c r="E238" s="119">
        <f>-$C$221</f>
        <v>-670.8333333333334</v>
      </c>
      <c r="F238" s="119">
        <f>-$C$221</f>
        <v>-670.8333333333334</v>
      </c>
      <c r="G238" s="119">
        <f>-$C$221</f>
        <v>-670.8333333333334</v>
      </c>
      <c r="H238" s="119">
        <f aca="true" t="shared" si="28" ref="H238:AM238">-$C$221</f>
        <v>-670.8333333333334</v>
      </c>
      <c r="I238" s="119">
        <f t="shared" si="28"/>
        <v>-670.8333333333334</v>
      </c>
      <c r="J238" s="119">
        <f t="shared" si="28"/>
        <v>-670.8333333333334</v>
      </c>
      <c r="K238" s="119">
        <f t="shared" si="28"/>
        <v>-670.8333333333334</v>
      </c>
      <c r="L238" s="119">
        <f t="shared" si="28"/>
        <v>-670.8333333333334</v>
      </c>
      <c r="M238" s="119">
        <f t="shared" si="28"/>
        <v>-670.8333333333334</v>
      </c>
      <c r="N238" s="119">
        <f t="shared" si="28"/>
        <v>-670.8333333333334</v>
      </c>
      <c r="O238" s="119">
        <f t="shared" si="28"/>
        <v>-670.8333333333334</v>
      </c>
      <c r="P238" s="119">
        <f t="shared" si="28"/>
        <v>-670.8333333333334</v>
      </c>
      <c r="Q238" s="119">
        <f t="shared" si="28"/>
        <v>-670.8333333333334</v>
      </c>
      <c r="R238" s="119">
        <f t="shared" si="28"/>
        <v>-670.8333333333334</v>
      </c>
      <c r="S238" s="119">
        <f t="shared" si="28"/>
        <v>-670.8333333333334</v>
      </c>
      <c r="T238" s="119">
        <f t="shared" si="28"/>
        <v>-670.8333333333334</v>
      </c>
      <c r="U238" s="119">
        <f t="shared" si="28"/>
        <v>-670.8333333333334</v>
      </c>
      <c r="V238" s="119">
        <f t="shared" si="28"/>
        <v>-670.8333333333334</v>
      </c>
      <c r="W238" s="119">
        <f t="shared" si="28"/>
        <v>-670.8333333333334</v>
      </c>
      <c r="X238" s="119">
        <f t="shared" si="28"/>
        <v>-670.8333333333334</v>
      </c>
      <c r="Y238" s="119">
        <f t="shared" si="28"/>
        <v>-670.8333333333334</v>
      </c>
      <c r="Z238" s="119">
        <f t="shared" si="28"/>
        <v>-670.8333333333334</v>
      </c>
      <c r="AA238" s="119">
        <f t="shared" si="28"/>
        <v>-670.8333333333334</v>
      </c>
      <c r="AB238" s="119">
        <f t="shared" si="28"/>
        <v>-670.8333333333334</v>
      </c>
      <c r="AC238" s="119">
        <f t="shared" si="28"/>
        <v>-670.8333333333334</v>
      </c>
      <c r="AD238" s="119">
        <f t="shared" si="28"/>
        <v>-670.8333333333334</v>
      </c>
      <c r="AE238" s="119">
        <f t="shared" si="28"/>
        <v>-670.8333333333334</v>
      </c>
      <c r="AF238" s="119">
        <f t="shared" si="28"/>
        <v>-670.8333333333334</v>
      </c>
      <c r="AG238" s="119">
        <f t="shared" si="28"/>
        <v>-670.8333333333334</v>
      </c>
      <c r="AH238" s="119">
        <f t="shared" si="28"/>
        <v>-670.8333333333334</v>
      </c>
      <c r="AI238" s="119">
        <f t="shared" si="28"/>
        <v>-670.8333333333334</v>
      </c>
      <c r="AJ238" s="119">
        <f t="shared" si="28"/>
        <v>-670.8333333333334</v>
      </c>
      <c r="AK238" s="119">
        <f t="shared" si="28"/>
        <v>-670.8333333333334</v>
      </c>
      <c r="AL238" s="119">
        <f t="shared" si="28"/>
        <v>-670.8333333333334</v>
      </c>
      <c r="AM238" s="119">
        <f t="shared" si="28"/>
        <v>-670.8333333333334</v>
      </c>
      <c r="AN238" s="119">
        <f>-$C$222</f>
        <v>-471</v>
      </c>
      <c r="AO238" s="119">
        <f aca="true" t="shared" si="29" ref="AO238:BK238">-$C$222</f>
        <v>-471</v>
      </c>
      <c r="AP238" s="119">
        <f t="shared" si="29"/>
        <v>-471</v>
      </c>
      <c r="AQ238" s="119">
        <f t="shared" si="29"/>
        <v>-471</v>
      </c>
      <c r="AR238" s="119">
        <f t="shared" si="29"/>
        <v>-471</v>
      </c>
      <c r="AS238" s="119">
        <f t="shared" si="29"/>
        <v>-471</v>
      </c>
      <c r="AT238" s="119">
        <f t="shared" si="29"/>
        <v>-471</v>
      </c>
      <c r="AU238" s="119">
        <f t="shared" si="29"/>
        <v>-471</v>
      </c>
      <c r="AV238" s="119">
        <f t="shared" si="29"/>
        <v>-471</v>
      </c>
      <c r="AW238" s="119">
        <f t="shared" si="29"/>
        <v>-471</v>
      </c>
      <c r="AX238" s="119">
        <f t="shared" si="29"/>
        <v>-471</v>
      </c>
      <c r="AY238" s="119">
        <f t="shared" si="29"/>
        <v>-471</v>
      </c>
      <c r="AZ238" s="119">
        <f t="shared" si="29"/>
        <v>-471</v>
      </c>
      <c r="BA238" s="119">
        <f t="shared" si="29"/>
        <v>-471</v>
      </c>
      <c r="BB238" s="119">
        <f t="shared" si="29"/>
        <v>-471</v>
      </c>
      <c r="BC238" s="119">
        <f t="shared" si="29"/>
        <v>-471</v>
      </c>
      <c r="BD238" s="119">
        <f t="shared" si="29"/>
        <v>-471</v>
      </c>
      <c r="BE238" s="119">
        <f t="shared" si="29"/>
        <v>-471</v>
      </c>
      <c r="BF238" s="119">
        <f t="shared" si="29"/>
        <v>-471</v>
      </c>
      <c r="BG238" s="119">
        <f t="shared" si="29"/>
        <v>-471</v>
      </c>
      <c r="BH238" s="119">
        <f t="shared" si="29"/>
        <v>-471</v>
      </c>
      <c r="BI238" s="119">
        <f t="shared" si="29"/>
        <v>-471</v>
      </c>
      <c r="BJ238" s="119">
        <f t="shared" si="29"/>
        <v>-471</v>
      </c>
      <c r="BK238" s="119">
        <f t="shared" si="29"/>
        <v>-471</v>
      </c>
    </row>
    <row r="239" ht="12.75" customHeight="1">
      <c r="A239" s="76"/>
    </row>
    <row r="240" spans="1:5" ht="12.75" customHeight="1">
      <c r="A240" s="76"/>
      <c r="C240" s="104" t="s">
        <v>102</v>
      </c>
      <c r="D240" s="105">
        <f>C238+NPV(D$228/12,D238:BK238)</f>
        <v>-9875.87072132135</v>
      </c>
      <c r="E240" t="s">
        <v>104</v>
      </c>
    </row>
    <row r="241" spans="1:4" ht="12.75" customHeight="1">
      <c r="A241" s="76"/>
      <c r="D241" s="105" t="s">
        <v>7</v>
      </c>
    </row>
    <row r="242" spans="1:3" ht="12.75" customHeight="1">
      <c r="A242" s="76"/>
      <c r="C242" s="1" t="s">
        <v>105</v>
      </c>
    </row>
    <row r="243" ht="12.75" customHeight="1">
      <c r="A243" s="76"/>
    </row>
    <row r="244" spans="1:8" ht="12.75" customHeight="1">
      <c r="A244" s="76"/>
      <c r="C244" s="1" t="s">
        <v>162</v>
      </c>
      <c r="H244" s="109">
        <f>C280</f>
        <v>0.32390727016339854</v>
      </c>
    </row>
    <row r="245" ht="12.75" customHeight="1">
      <c r="A245" s="76"/>
    </row>
    <row r="246" ht="12.75" customHeight="1">
      <c r="A246" s="76"/>
    </row>
    <row r="247" ht="12.75" customHeight="1">
      <c r="A247" s="76"/>
    </row>
    <row r="248" ht="12.75" customHeight="1">
      <c r="A248" s="76"/>
    </row>
    <row r="249" ht="12.75" customHeight="1"/>
    <row r="250" spans="2:4" ht="12.75">
      <c r="B250" s="79" t="s">
        <v>64</v>
      </c>
      <c r="C250" s="77">
        <v>20485</v>
      </c>
      <c r="D250" t="s">
        <v>50</v>
      </c>
    </row>
    <row r="251" spans="3:4" ht="12.75">
      <c r="C251" s="77">
        <v>25000</v>
      </c>
      <c r="D251" t="s">
        <v>51</v>
      </c>
    </row>
    <row r="252" spans="3:4" ht="12.75">
      <c r="C252" s="77">
        <v>23000</v>
      </c>
      <c r="D252" t="s">
        <v>52</v>
      </c>
    </row>
    <row r="253" spans="3:4" ht="12.75">
      <c r="C253" s="77">
        <f>D179</f>
        <v>670.8333333333334</v>
      </c>
      <c r="D253" t="s">
        <v>86</v>
      </c>
    </row>
    <row r="254" spans="3:4" ht="12.75">
      <c r="C254" s="77">
        <v>471</v>
      </c>
      <c r="D254" t="s">
        <v>85</v>
      </c>
    </row>
    <row r="255" spans="3:4" ht="12.75">
      <c r="C255" s="78">
        <v>60</v>
      </c>
      <c r="D255" t="s">
        <v>54</v>
      </c>
    </row>
    <row r="256" spans="3:4" ht="12.75">
      <c r="C256" s="92" t="s">
        <v>87</v>
      </c>
      <c r="D256" s="93" t="s">
        <v>106</v>
      </c>
    </row>
    <row r="258" ht="12.75">
      <c r="C258" s="1" t="s">
        <v>163</v>
      </c>
    </row>
    <row r="259" ht="13.5" thickBot="1"/>
    <row r="260" spans="3:5" ht="14.25" thickBot="1" thickTop="1">
      <c r="C260" s="100" t="str">
        <f>IF(D260=0.1,"Seed IRR = ","IRR = ")</f>
        <v>IRR = </v>
      </c>
      <c r="D260" s="101">
        <v>0.32390727016339854</v>
      </c>
      <c r="E260" s="40" t="s">
        <v>164</v>
      </c>
    </row>
    <row r="261" spans="3:8" ht="13.5" thickTop="1">
      <c r="C261" s="36" t="s">
        <v>88</v>
      </c>
      <c r="D261" s="94">
        <f>PV(D$260/12,36,C$253)</f>
        <v>-15325.776823756905</v>
      </c>
      <c r="E261" t="s">
        <v>92</v>
      </c>
      <c r="H261" s="95">
        <f>C253</f>
        <v>670.8333333333334</v>
      </c>
    </row>
    <row r="262" spans="3:8" ht="12.75">
      <c r="C262" s="36" t="s">
        <v>89</v>
      </c>
      <c r="D262" s="77">
        <f>PV(D$260/12,24,-C$254)</f>
        <v>8241.355264676433</v>
      </c>
      <c r="H262" s="65"/>
    </row>
    <row r="263" spans="3:8" ht="13.5" thickBot="1">
      <c r="C263" s="36" t="s">
        <v>90</v>
      </c>
      <c r="D263" s="94">
        <f>PV(D$260/12,36,,D$262)</f>
        <v>-3159.223176243799</v>
      </c>
      <c r="E263" t="s">
        <v>93</v>
      </c>
      <c r="H263" s="95">
        <f>C254</f>
        <v>471</v>
      </c>
    </row>
    <row r="264" spans="3:5" ht="14.25" thickBot="1" thickTop="1">
      <c r="C264" s="36" t="s">
        <v>91</v>
      </c>
      <c r="D264" s="97">
        <f>D261+D263</f>
        <v>-18485.000000000706</v>
      </c>
      <c r="E264" t="s">
        <v>94</v>
      </c>
    </row>
    <row r="265" spans="3:10" ht="13.5" thickTop="1">
      <c r="C265" s="65" t="s">
        <v>95</v>
      </c>
      <c r="J265" s="37">
        <f>-(C$250-(C$251-C$252))</f>
        <v>-18485</v>
      </c>
    </row>
    <row r="269" ht="12.75">
      <c r="G269" s="96" t="s">
        <v>96</v>
      </c>
    </row>
    <row r="276" ht="12.75">
      <c r="C276" s="1" t="s">
        <v>97</v>
      </c>
    </row>
    <row r="277" ht="13.5" thickBot="1"/>
    <row r="278" spans="3:63" s="36" customFormat="1" ht="14.25" thickBot="1" thickTop="1">
      <c r="C278" s="82" t="s">
        <v>58</v>
      </c>
      <c r="D278" s="83">
        <v>1</v>
      </c>
      <c r="E278" s="83">
        <v>2</v>
      </c>
      <c r="F278" s="83">
        <v>3</v>
      </c>
      <c r="G278" s="83">
        <v>4</v>
      </c>
      <c r="H278" s="83">
        <v>5</v>
      </c>
      <c r="I278" s="83">
        <v>6</v>
      </c>
      <c r="J278" s="83">
        <v>7</v>
      </c>
      <c r="K278" s="83">
        <v>8</v>
      </c>
      <c r="L278" s="83">
        <v>9</v>
      </c>
      <c r="M278" s="83">
        <v>10</v>
      </c>
      <c r="N278" s="83">
        <v>11</v>
      </c>
      <c r="O278" s="83">
        <v>12</v>
      </c>
      <c r="P278" s="83">
        <v>13</v>
      </c>
      <c r="Q278" s="83">
        <v>14</v>
      </c>
      <c r="R278" s="83">
        <v>15</v>
      </c>
      <c r="S278" s="83">
        <v>16</v>
      </c>
      <c r="T278" s="83">
        <v>17</v>
      </c>
      <c r="U278" s="83">
        <v>18</v>
      </c>
      <c r="V278" s="83">
        <v>19</v>
      </c>
      <c r="W278" s="83">
        <v>20</v>
      </c>
      <c r="X278" s="83">
        <v>21</v>
      </c>
      <c r="Y278" s="83">
        <v>22</v>
      </c>
      <c r="Z278" s="83">
        <v>23</v>
      </c>
      <c r="AA278" s="83">
        <v>24</v>
      </c>
      <c r="AB278" s="83">
        <v>25</v>
      </c>
      <c r="AC278" s="83">
        <v>26</v>
      </c>
      <c r="AD278" s="83">
        <v>27</v>
      </c>
      <c r="AE278" s="83">
        <v>28</v>
      </c>
      <c r="AF278" s="83">
        <v>29</v>
      </c>
      <c r="AG278" s="83">
        <v>30</v>
      </c>
      <c r="AH278" s="83">
        <v>31</v>
      </c>
      <c r="AI278" s="83">
        <v>32</v>
      </c>
      <c r="AJ278" s="83">
        <v>33</v>
      </c>
      <c r="AK278" s="83">
        <v>34</v>
      </c>
      <c r="AL278" s="83">
        <v>35</v>
      </c>
      <c r="AM278" s="83">
        <v>36</v>
      </c>
      <c r="AN278" s="83">
        <v>37</v>
      </c>
      <c r="AO278" s="83">
        <v>38</v>
      </c>
      <c r="AP278" s="83">
        <v>39</v>
      </c>
      <c r="AQ278" s="83">
        <v>40</v>
      </c>
      <c r="AR278" s="83">
        <v>41</v>
      </c>
      <c r="AS278" s="83">
        <v>42</v>
      </c>
      <c r="AT278" s="83">
        <v>43</v>
      </c>
      <c r="AU278" s="83">
        <v>44</v>
      </c>
      <c r="AV278" s="83">
        <v>45</v>
      </c>
      <c r="AW278" s="83">
        <v>46</v>
      </c>
      <c r="AX278" s="83">
        <v>47</v>
      </c>
      <c r="AY278" s="83">
        <v>48</v>
      </c>
      <c r="AZ278" s="83">
        <v>49</v>
      </c>
      <c r="BA278" s="83">
        <v>50</v>
      </c>
      <c r="BB278" s="83">
        <v>51</v>
      </c>
      <c r="BC278" s="83">
        <v>52</v>
      </c>
      <c r="BD278" s="83">
        <v>53</v>
      </c>
      <c r="BE278" s="83">
        <v>54</v>
      </c>
      <c r="BF278" s="83">
        <v>55</v>
      </c>
      <c r="BG278" s="83">
        <v>56</v>
      </c>
      <c r="BH278" s="83">
        <v>57</v>
      </c>
      <c r="BI278" s="83">
        <v>58</v>
      </c>
      <c r="BJ278" s="83">
        <v>59</v>
      </c>
      <c r="BK278" s="84">
        <v>60</v>
      </c>
    </row>
    <row r="279" spans="2:63" s="116" customFormat="1" ht="14.25" thickBot="1" thickTop="1">
      <c r="B279" s="116" t="s">
        <v>7</v>
      </c>
      <c r="C279" s="116">
        <f>(C$250-(C$251-C$252))</f>
        <v>18485</v>
      </c>
      <c r="D279" s="116">
        <f>-$C$253</f>
        <v>-670.8333333333334</v>
      </c>
      <c r="E279" s="116">
        <f aca="true" t="shared" si="30" ref="E279:AM279">-$C$253</f>
        <v>-670.8333333333334</v>
      </c>
      <c r="F279" s="116">
        <f t="shared" si="30"/>
        <v>-670.8333333333334</v>
      </c>
      <c r="G279" s="116">
        <f t="shared" si="30"/>
        <v>-670.8333333333334</v>
      </c>
      <c r="H279" s="116">
        <f t="shared" si="30"/>
        <v>-670.8333333333334</v>
      </c>
      <c r="I279" s="116">
        <f t="shared" si="30"/>
        <v>-670.8333333333334</v>
      </c>
      <c r="J279" s="116">
        <f t="shared" si="30"/>
        <v>-670.8333333333334</v>
      </c>
      <c r="K279" s="116">
        <f t="shared" si="30"/>
        <v>-670.8333333333334</v>
      </c>
      <c r="L279" s="116">
        <f t="shared" si="30"/>
        <v>-670.8333333333334</v>
      </c>
      <c r="M279" s="116">
        <f t="shared" si="30"/>
        <v>-670.8333333333334</v>
      </c>
      <c r="N279" s="116">
        <f t="shared" si="30"/>
        <v>-670.8333333333334</v>
      </c>
      <c r="O279" s="116">
        <f t="shared" si="30"/>
        <v>-670.8333333333334</v>
      </c>
      <c r="P279" s="116">
        <f t="shared" si="30"/>
        <v>-670.8333333333334</v>
      </c>
      <c r="Q279" s="116">
        <f t="shared" si="30"/>
        <v>-670.8333333333334</v>
      </c>
      <c r="R279" s="116">
        <f t="shared" si="30"/>
        <v>-670.8333333333334</v>
      </c>
      <c r="S279" s="116">
        <f t="shared" si="30"/>
        <v>-670.8333333333334</v>
      </c>
      <c r="T279" s="116">
        <f t="shared" si="30"/>
        <v>-670.8333333333334</v>
      </c>
      <c r="U279" s="116">
        <f t="shared" si="30"/>
        <v>-670.8333333333334</v>
      </c>
      <c r="V279" s="116">
        <f t="shared" si="30"/>
        <v>-670.8333333333334</v>
      </c>
      <c r="W279" s="116">
        <f t="shared" si="30"/>
        <v>-670.8333333333334</v>
      </c>
      <c r="X279" s="116">
        <f t="shared" si="30"/>
        <v>-670.8333333333334</v>
      </c>
      <c r="Y279" s="116">
        <f t="shared" si="30"/>
        <v>-670.8333333333334</v>
      </c>
      <c r="Z279" s="116">
        <f t="shared" si="30"/>
        <v>-670.8333333333334</v>
      </c>
      <c r="AA279" s="116">
        <f t="shared" si="30"/>
        <v>-670.8333333333334</v>
      </c>
      <c r="AB279" s="116">
        <f t="shared" si="30"/>
        <v>-670.8333333333334</v>
      </c>
      <c r="AC279" s="116">
        <f t="shared" si="30"/>
        <v>-670.8333333333334</v>
      </c>
      <c r="AD279" s="116">
        <f t="shared" si="30"/>
        <v>-670.8333333333334</v>
      </c>
      <c r="AE279" s="116">
        <f t="shared" si="30"/>
        <v>-670.8333333333334</v>
      </c>
      <c r="AF279" s="116">
        <f t="shared" si="30"/>
        <v>-670.8333333333334</v>
      </c>
      <c r="AG279" s="116">
        <f t="shared" si="30"/>
        <v>-670.8333333333334</v>
      </c>
      <c r="AH279" s="116">
        <f t="shared" si="30"/>
        <v>-670.8333333333334</v>
      </c>
      <c r="AI279" s="116">
        <f t="shared" si="30"/>
        <v>-670.8333333333334</v>
      </c>
      <c r="AJ279" s="116">
        <f t="shared" si="30"/>
        <v>-670.8333333333334</v>
      </c>
      <c r="AK279" s="116">
        <f t="shared" si="30"/>
        <v>-670.8333333333334</v>
      </c>
      <c r="AL279" s="116">
        <f t="shared" si="30"/>
        <v>-670.8333333333334</v>
      </c>
      <c r="AM279" s="116">
        <f t="shared" si="30"/>
        <v>-670.8333333333334</v>
      </c>
      <c r="AN279" s="116">
        <f>-$C$254</f>
        <v>-471</v>
      </c>
      <c r="AO279" s="116">
        <f aca="true" t="shared" si="31" ref="AO279:BK279">-$C$254</f>
        <v>-471</v>
      </c>
      <c r="AP279" s="116">
        <f t="shared" si="31"/>
        <v>-471</v>
      </c>
      <c r="AQ279" s="116">
        <f t="shared" si="31"/>
        <v>-471</v>
      </c>
      <c r="AR279" s="116">
        <f t="shared" si="31"/>
        <v>-471</v>
      </c>
      <c r="AS279" s="116">
        <f t="shared" si="31"/>
        <v>-471</v>
      </c>
      <c r="AT279" s="116">
        <f t="shared" si="31"/>
        <v>-471</v>
      </c>
      <c r="AU279" s="116">
        <f t="shared" si="31"/>
        <v>-471</v>
      </c>
      <c r="AV279" s="116">
        <f t="shared" si="31"/>
        <v>-471</v>
      </c>
      <c r="AW279" s="116">
        <f t="shared" si="31"/>
        <v>-471</v>
      </c>
      <c r="AX279" s="116">
        <f t="shared" si="31"/>
        <v>-471</v>
      </c>
      <c r="AY279" s="116">
        <f t="shared" si="31"/>
        <v>-471</v>
      </c>
      <c r="AZ279" s="116">
        <f t="shared" si="31"/>
        <v>-471</v>
      </c>
      <c r="BA279" s="116">
        <f t="shared" si="31"/>
        <v>-471</v>
      </c>
      <c r="BB279" s="116">
        <f t="shared" si="31"/>
        <v>-471</v>
      </c>
      <c r="BC279" s="116">
        <f t="shared" si="31"/>
        <v>-471</v>
      </c>
      <c r="BD279" s="116">
        <f t="shared" si="31"/>
        <v>-471</v>
      </c>
      <c r="BE279" s="116">
        <f t="shared" si="31"/>
        <v>-471</v>
      </c>
      <c r="BF279" s="116">
        <f t="shared" si="31"/>
        <v>-471</v>
      </c>
      <c r="BG279" s="116">
        <f t="shared" si="31"/>
        <v>-471</v>
      </c>
      <c r="BH279" s="116">
        <f t="shared" si="31"/>
        <v>-471</v>
      </c>
      <c r="BI279" s="116">
        <f t="shared" si="31"/>
        <v>-471</v>
      </c>
      <c r="BJ279" s="116">
        <f t="shared" si="31"/>
        <v>-471</v>
      </c>
      <c r="BK279" s="116">
        <f t="shared" si="31"/>
        <v>-471</v>
      </c>
    </row>
    <row r="280" spans="2:3" ht="14.25" thickBot="1" thickTop="1">
      <c r="B280" s="100" t="s">
        <v>63</v>
      </c>
      <c r="C280" s="101">
        <f>12*IRR(C279:BK279,0.05)</f>
        <v>0.32390727016339854</v>
      </c>
    </row>
    <row r="281" ht="13.5" thickTop="1"/>
    <row r="283" spans="1:17" ht="12.7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</row>
    <row r="285" ht="12.75">
      <c r="A285" t="s">
        <v>154</v>
      </c>
    </row>
    <row r="286" ht="12.75">
      <c r="A286" t="s">
        <v>133</v>
      </c>
    </row>
    <row r="287" ht="12.75">
      <c r="A287" t="s">
        <v>134</v>
      </c>
    </row>
    <row r="288" ht="12.75">
      <c r="A288" t="s">
        <v>135</v>
      </c>
    </row>
    <row r="290" spans="3:4" ht="12.75">
      <c r="C290" s="136">
        <v>-500000</v>
      </c>
      <c r="D290" s="40" t="s">
        <v>136</v>
      </c>
    </row>
    <row r="291" spans="3:4" ht="12.75">
      <c r="C291" s="136">
        <v>-2000000</v>
      </c>
      <c r="D291" s="40" t="s">
        <v>137</v>
      </c>
    </row>
    <row r="292" spans="3:4" ht="12.75">
      <c r="C292" s="108" t="s">
        <v>87</v>
      </c>
      <c r="D292" s="40" t="s">
        <v>138</v>
      </c>
    </row>
    <row r="293" spans="3:4" ht="12.75">
      <c r="C293" s="108">
        <v>60</v>
      </c>
      <c r="D293" s="40" t="s">
        <v>139</v>
      </c>
    </row>
    <row r="294" spans="3:4" ht="12.75">
      <c r="C294" s="136">
        <f>PMT(0.095754/12,C293,C291)</f>
        <v>42077.45538103592</v>
      </c>
      <c r="D294" s="40" t="s">
        <v>140</v>
      </c>
    </row>
    <row r="296" ht="12.75">
      <c r="A296" t="s">
        <v>141</v>
      </c>
    </row>
    <row r="297" ht="13.5" thickBot="1"/>
    <row r="298" spans="3:5" ht="12.75">
      <c r="C298" s="147">
        <f>RATE(C293,C294,C291)</f>
        <v>0.007979499999999773</v>
      </c>
      <c r="D298" s="148" t="s">
        <v>142</v>
      </c>
      <c r="E298" s="149"/>
    </row>
    <row r="299" spans="3:5" ht="13.5" thickBot="1">
      <c r="C299" s="150">
        <f>C298*12</f>
        <v>0.09575399999999729</v>
      </c>
      <c r="D299" s="151" t="s">
        <v>143</v>
      </c>
      <c r="E299" s="152"/>
    </row>
    <row r="301" ht="12.75">
      <c r="A301" t="s">
        <v>144</v>
      </c>
    </row>
    <row r="302" ht="13.5" thickBot="1"/>
    <row r="303" spans="1:6" ht="14.25" thickBot="1" thickTop="1">
      <c r="A303" s="2" t="s">
        <v>145</v>
      </c>
      <c r="E303" s="153" t="s">
        <v>146</v>
      </c>
      <c r="F303" s="154" t="s">
        <v>147</v>
      </c>
    </row>
    <row r="304" spans="1:6" ht="13.5" thickTop="1">
      <c r="A304" s="2">
        <v>13</v>
      </c>
      <c r="B304" t="s">
        <v>148</v>
      </c>
      <c r="E304" s="155">
        <f>IPMT(C298,13,C293,C291)</f>
        <v>13345.321241132664</v>
      </c>
      <c r="F304" s="156"/>
    </row>
    <row r="305" spans="2:6" ht="12.75">
      <c r="B305" t="s">
        <v>149</v>
      </c>
      <c r="E305" s="157">
        <f>PPMT(C298,13,C293,C291)</f>
        <v>28732.134139903148</v>
      </c>
      <c r="F305" s="158"/>
    </row>
    <row r="306" spans="3:6" ht="13.5" thickBot="1">
      <c r="C306" t="s">
        <v>5</v>
      </c>
      <c r="E306" s="159" t="s">
        <v>7</v>
      </c>
      <c r="F306" s="160">
        <f>C294</f>
        <v>42077.45538103592</v>
      </c>
    </row>
    <row r="307" spans="2:6" ht="13.5" thickTop="1">
      <c r="B307" s="40" t="s">
        <v>156</v>
      </c>
      <c r="E307" s="119"/>
      <c r="F307" s="119"/>
    </row>
    <row r="309" ht="12.75">
      <c r="A309" t="s">
        <v>150</v>
      </c>
    </row>
    <row r="310" ht="12.75">
      <c r="A310" t="s">
        <v>151</v>
      </c>
    </row>
    <row r="312" spans="3:4" ht="12.75">
      <c r="C312" s="3">
        <f>C290+C291</f>
        <v>-2500000</v>
      </c>
      <c r="D312" s="40" t="s">
        <v>157</v>
      </c>
    </row>
    <row r="313" spans="3:4" ht="12.75">
      <c r="C313">
        <v>75000</v>
      </c>
      <c r="D313" s="40" t="s">
        <v>152</v>
      </c>
    </row>
    <row r="314" spans="3:4" ht="12.75">
      <c r="C314">
        <v>120</v>
      </c>
      <c r="D314" s="40" t="s">
        <v>153</v>
      </c>
    </row>
    <row r="315" ht="13.5" thickBot="1">
      <c r="D315" s="40"/>
    </row>
    <row r="316" spans="1:6" ht="14.25" thickBot="1" thickTop="1">
      <c r="A316" s="161" t="s">
        <v>145</v>
      </c>
      <c r="B316" s="162"/>
      <c r="C316" s="163"/>
      <c r="D316" s="164"/>
      <c r="E316" s="153" t="s">
        <v>146</v>
      </c>
      <c r="F316" s="154" t="s">
        <v>147</v>
      </c>
    </row>
    <row r="317" spans="1:6" ht="13.5" thickTop="1">
      <c r="A317" s="18">
        <v>13</v>
      </c>
      <c r="B317" s="162" t="s">
        <v>155</v>
      </c>
      <c r="C317" s="163"/>
      <c r="D317" s="163"/>
      <c r="E317" s="165">
        <f>SLN(-C312,C313,C314)</f>
        <v>20208.333333333332</v>
      </c>
      <c r="F317" s="156"/>
    </row>
    <row r="318" spans="1:6" ht="12.75">
      <c r="A318" s="166"/>
      <c r="B318" s="167"/>
      <c r="C318" s="168" t="s">
        <v>158</v>
      </c>
      <c r="D318" s="168"/>
      <c r="E318" s="169" t="s">
        <v>7</v>
      </c>
      <c r="F318" s="170">
        <f>E317</f>
        <v>20208.333333333332</v>
      </c>
    </row>
    <row r="319" spans="1:6" ht="13.5" thickBot="1">
      <c r="A319" s="146"/>
      <c r="B319" s="171" t="s">
        <v>161</v>
      </c>
      <c r="C319" s="172"/>
      <c r="D319" s="172"/>
      <c r="E319" s="173"/>
      <c r="F319" s="14"/>
    </row>
    <row r="320" ht="14.25" thickBot="1" thickTop="1"/>
    <row r="321" spans="1:6" ht="14.25" thickBot="1" thickTop="1">
      <c r="A321" s="161" t="s">
        <v>145</v>
      </c>
      <c r="B321" s="162"/>
      <c r="C321" s="163"/>
      <c r="D321" s="164"/>
      <c r="E321" s="153" t="s">
        <v>146</v>
      </c>
      <c r="F321" s="154" t="s">
        <v>147</v>
      </c>
    </row>
    <row r="322" spans="1:6" ht="13.5" thickTop="1">
      <c r="A322" s="18">
        <v>13</v>
      </c>
      <c r="B322" s="162" t="s">
        <v>155</v>
      </c>
      <c r="C322" s="163"/>
      <c r="D322" s="163"/>
      <c r="E322" s="155">
        <f>SYD(-C312,C313,C314,13)</f>
        <v>36074.38016528926</v>
      </c>
      <c r="F322" s="156"/>
    </row>
    <row r="323" spans="1:6" ht="12.75">
      <c r="A323" s="166"/>
      <c r="B323" s="167"/>
      <c r="C323" s="168" t="s">
        <v>158</v>
      </c>
      <c r="D323" s="168"/>
      <c r="E323" s="157" t="s">
        <v>7</v>
      </c>
      <c r="F323" s="170">
        <f>E322</f>
        <v>36074.38016528926</v>
      </c>
    </row>
    <row r="324" spans="1:6" ht="13.5" thickBot="1">
      <c r="A324" s="146"/>
      <c r="B324" s="171" t="s">
        <v>160</v>
      </c>
      <c r="C324" s="172"/>
      <c r="D324" s="172"/>
      <c r="E324" s="173"/>
      <c r="F324" s="14"/>
    </row>
    <row r="325" ht="14.25" thickBot="1" thickTop="1"/>
    <row r="326" spans="1:6" ht="14.25" thickBot="1" thickTop="1">
      <c r="A326" s="161" t="s">
        <v>145</v>
      </c>
      <c r="B326" s="162"/>
      <c r="C326" s="163"/>
      <c r="D326" s="164"/>
      <c r="E326" s="153" t="s">
        <v>146</v>
      </c>
      <c r="F326" s="154" t="s">
        <v>147</v>
      </c>
    </row>
    <row r="327" spans="1:6" ht="13.5" thickTop="1">
      <c r="A327" s="18">
        <v>13</v>
      </c>
      <c r="B327" s="162" t="s">
        <v>155</v>
      </c>
      <c r="C327" s="163"/>
      <c r="D327" s="163"/>
      <c r="E327" s="155">
        <f>DDB(-C312,C313,C314,13)</f>
        <v>34056.33376105295</v>
      </c>
      <c r="F327" s="156"/>
    </row>
    <row r="328" spans="1:6" ht="12.75">
      <c r="A328" s="166"/>
      <c r="B328" s="167"/>
      <c r="C328" s="168" t="s">
        <v>158</v>
      </c>
      <c r="D328" s="168"/>
      <c r="E328" s="157" t="s">
        <v>7</v>
      </c>
      <c r="F328" s="170">
        <f>E327</f>
        <v>34056.33376105295</v>
      </c>
    </row>
    <row r="329" spans="1:6" ht="13.5" thickBot="1">
      <c r="A329" s="146"/>
      <c r="B329" s="171" t="s">
        <v>159</v>
      </c>
      <c r="C329" s="172"/>
      <c r="D329" s="172"/>
      <c r="E329" s="173"/>
      <c r="F329" s="14"/>
    </row>
    <row r="330" ht="13.5" thickTop="1"/>
    <row r="331" spans="1:17" ht="12.75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</row>
    <row r="335" ht="12" customHeight="1"/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Document.8" shapeId="145033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C197"/>
  <sheetViews>
    <sheetView workbookViewId="0" topLeftCell="A1">
      <selection activeCell="A1" sqref="A1"/>
    </sheetView>
  </sheetViews>
  <sheetFormatPr defaultColWidth="9.140625" defaultRowHeight="12.75"/>
  <cols>
    <col min="3" max="3" width="11.7109375" style="0" bestFit="1" customWidth="1"/>
    <col min="28" max="28" width="11.7109375" style="0" bestFit="1" customWidth="1"/>
  </cols>
  <sheetData>
    <row r="1" ht="15.75">
      <c r="A1" s="76" t="s">
        <v>48</v>
      </c>
    </row>
    <row r="2" spans="1:27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2"/>
      <c r="S2" s="52"/>
      <c r="T2" s="52"/>
      <c r="U2" s="52"/>
      <c r="V2" s="52"/>
      <c r="W2" s="52"/>
      <c r="X2" s="52"/>
      <c r="Y2" s="52"/>
      <c r="Z2" s="52"/>
      <c r="AA2" s="52"/>
    </row>
    <row r="4" ht="13.5" thickBot="1">
      <c r="A4" t="s">
        <v>38</v>
      </c>
    </row>
    <row r="5" spans="3:28" ht="17.25" thickBot="1" thickTop="1">
      <c r="C5" s="69" t="s">
        <v>41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</row>
    <row r="6" spans="3:29" s="27" customFormat="1" ht="14.25" thickBot="1" thickTop="1">
      <c r="C6" s="53" t="s">
        <v>40</v>
      </c>
      <c r="D6" s="54">
        <v>0.005</v>
      </c>
      <c r="E6" s="54">
        <v>0.01</v>
      </c>
      <c r="F6" s="54">
        <v>0.015</v>
      </c>
      <c r="G6" s="54">
        <v>0.02</v>
      </c>
      <c r="H6" s="54">
        <v>0.025</v>
      </c>
      <c r="I6" s="54">
        <v>0.03</v>
      </c>
      <c r="J6" s="54">
        <v>0.035</v>
      </c>
      <c r="K6" s="54">
        <v>0.04</v>
      </c>
      <c r="L6" s="54">
        <v>0.045</v>
      </c>
      <c r="M6" s="54">
        <v>0.05</v>
      </c>
      <c r="N6" s="54">
        <v>0.055</v>
      </c>
      <c r="O6" s="54">
        <v>0.06</v>
      </c>
      <c r="P6" s="54">
        <v>0.065</v>
      </c>
      <c r="Q6" s="54">
        <v>0.07</v>
      </c>
      <c r="R6" s="54">
        <v>0.075</v>
      </c>
      <c r="S6" s="54">
        <v>0.08</v>
      </c>
      <c r="T6" s="54">
        <v>0.085</v>
      </c>
      <c r="U6" s="54">
        <v>0.09</v>
      </c>
      <c r="V6" s="54">
        <v>0.095</v>
      </c>
      <c r="W6" s="54">
        <v>0.1</v>
      </c>
      <c r="X6" s="54">
        <v>0.105</v>
      </c>
      <c r="Y6" s="54">
        <v>0.11</v>
      </c>
      <c r="Z6" s="54">
        <v>0.115</v>
      </c>
      <c r="AA6" s="54">
        <v>0.12</v>
      </c>
      <c r="AB6" s="55" t="s">
        <v>39</v>
      </c>
      <c r="AC6" s="49"/>
    </row>
    <row r="7" spans="2:28" s="51" customFormat="1" ht="13.5" thickTop="1">
      <c r="B7" s="50">
        <v>1</v>
      </c>
      <c r="C7" s="56">
        <v>1</v>
      </c>
      <c r="D7" s="57">
        <f aca="true" t="shared" si="0" ref="D7:D23">PV(D$6,$C7,,-$B$7)</f>
        <v>0.9950248756218907</v>
      </c>
      <c r="E7" s="57">
        <f aca="true" t="shared" si="1" ref="E7:T22">PV(E$6,$C7,,-$B$7)</f>
        <v>0.9900990099009901</v>
      </c>
      <c r="F7" s="57">
        <f t="shared" si="1"/>
        <v>0.9852216748768474</v>
      </c>
      <c r="G7" s="57">
        <f t="shared" si="1"/>
        <v>0.9803921568627451</v>
      </c>
      <c r="H7" s="57">
        <f t="shared" si="1"/>
        <v>0.9756097560975611</v>
      </c>
      <c r="I7" s="57">
        <f t="shared" si="1"/>
        <v>0.970873786407767</v>
      </c>
      <c r="J7" s="57">
        <f t="shared" si="1"/>
        <v>0.9661835748792271</v>
      </c>
      <c r="K7" s="57">
        <f t="shared" si="1"/>
        <v>0.9615384615384615</v>
      </c>
      <c r="L7" s="57">
        <f t="shared" si="1"/>
        <v>0.9569377990430623</v>
      </c>
      <c r="M7" s="57">
        <f t="shared" si="1"/>
        <v>0.9523809523809523</v>
      </c>
      <c r="N7" s="57">
        <f t="shared" si="1"/>
        <v>0.9478672985781991</v>
      </c>
      <c r="O7" s="57">
        <f t="shared" si="1"/>
        <v>0.9433962264150942</v>
      </c>
      <c r="P7" s="57">
        <f t="shared" si="1"/>
        <v>0.9389671361502347</v>
      </c>
      <c r="Q7" s="57">
        <f t="shared" si="1"/>
        <v>0.9345794392523364</v>
      </c>
      <c r="R7" s="57">
        <f t="shared" si="1"/>
        <v>0.9302325581395349</v>
      </c>
      <c r="S7" s="57">
        <f t="shared" si="1"/>
        <v>0.9259259259259258</v>
      </c>
      <c r="T7" s="57">
        <f t="shared" si="1"/>
        <v>0.9216589861751152</v>
      </c>
      <c r="U7" s="57">
        <f aca="true" t="shared" si="2" ref="U7:AA22">PV(U$6,$C7,,-$B$7)</f>
        <v>0.9174311926605504</v>
      </c>
      <c r="V7" s="57">
        <f t="shared" si="2"/>
        <v>0.9132420091324202</v>
      </c>
      <c r="W7" s="57">
        <f t="shared" si="2"/>
        <v>0.9090909090909091</v>
      </c>
      <c r="X7" s="57">
        <f t="shared" si="2"/>
        <v>0.9049773755656109</v>
      </c>
      <c r="Y7" s="57">
        <f t="shared" si="2"/>
        <v>0.9009009009009008</v>
      </c>
      <c r="Z7" s="57">
        <f t="shared" si="2"/>
        <v>0.8968609865470852</v>
      </c>
      <c r="AA7" s="57">
        <f t="shared" si="2"/>
        <v>0.8928571428571428</v>
      </c>
      <c r="AB7" s="58">
        <f>$C7</f>
        <v>1</v>
      </c>
    </row>
    <row r="8" spans="3:28" ht="12.75">
      <c r="C8" s="59">
        <v>2</v>
      </c>
      <c r="D8" s="60">
        <f t="shared" si="0"/>
        <v>0.990074503106359</v>
      </c>
      <c r="E8" s="60">
        <f t="shared" si="1"/>
        <v>0.9802960494069208</v>
      </c>
      <c r="F8" s="60">
        <f t="shared" si="1"/>
        <v>0.9706617486471405</v>
      </c>
      <c r="G8" s="60">
        <f t="shared" si="1"/>
        <v>0.9611687812379854</v>
      </c>
      <c r="H8" s="60">
        <f t="shared" si="1"/>
        <v>0.9518143961927424</v>
      </c>
      <c r="I8" s="60">
        <f t="shared" si="1"/>
        <v>0.9425959091337544</v>
      </c>
      <c r="J8" s="60">
        <f t="shared" si="1"/>
        <v>0.933510700366403</v>
      </c>
      <c r="K8" s="60">
        <f t="shared" si="1"/>
        <v>0.9245562130177514</v>
      </c>
      <c r="L8" s="60">
        <f t="shared" si="1"/>
        <v>0.9157299512373802</v>
      </c>
      <c r="M8" s="60">
        <f t="shared" si="1"/>
        <v>0.9070294784580498</v>
      </c>
      <c r="N8" s="60">
        <f t="shared" si="1"/>
        <v>0.8984524157139329</v>
      </c>
      <c r="O8" s="60">
        <f t="shared" si="1"/>
        <v>0.8899964400142398</v>
      </c>
      <c r="P8" s="60">
        <f t="shared" si="1"/>
        <v>0.8816592827701736</v>
      </c>
      <c r="Q8" s="60">
        <f t="shared" si="1"/>
        <v>0.8734387282732116</v>
      </c>
      <c r="R8" s="60">
        <f t="shared" si="1"/>
        <v>0.8653326122228232</v>
      </c>
      <c r="S8" s="60">
        <f t="shared" si="1"/>
        <v>0.8573388203017832</v>
      </c>
      <c r="T8" s="60">
        <f t="shared" si="1"/>
        <v>0.8494552867973413</v>
      </c>
      <c r="U8" s="60">
        <f t="shared" si="2"/>
        <v>0.84167999326656</v>
      </c>
      <c r="V8" s="60">
        <f t="shared" si="2"/>
        <v>0.8340109672442193</v>
      </c>
      <c r="W8" s="60">
        <f t="shared" si="2"/>
        <v>0.8264462809917354</v>
      </c>
      <c r="X8" s="60">
        <f t="shared" si="2"/>
        <v>0.8189840502856207</v>
      </c>
      <c r="Y8" s="60">
        <f t="shared" si="2"/>
        <v>0.8116224332440547</v>
      </c>
      <c r="Z8" s="60">
        <f t="shared" si="2"/>
        <v>0.804359629190211</v>
      </c>
      <c r="AA8" s="60">
        <f t="shared" si="2"/>
        <v>0.7971938775510203</v>
      </c>
      <c r="AB8" s="61">
        <f aca="true" t="shared" si="3" ref="AB8:AB56">$C8</f>
        <v>2</v>
      </c>
    </row>
    <row r="9" spans="3:28" ht="12.75">
      <c r="C9" s="59">
        <v>3</v>
      </c>
      <c r="D9" s="60">
        <f t="shared" si="0"/>
        <v>0.98514875930981</v>
      </c>
      <c r="E9" s="60">
        <f t="shared" si="1"/>
        <v>0.9705901479276445</v>
      </c>
      <c r="F9" s="60">
        <f t="shared" si="1"/>
        <v>0.9563169937410252</v>
      </c>
      <c r="G9" s="60">
        <f t="shared" si="1"/>
        <v>0.9423223345470446</v>
      </c>
      <c r="H9" s="60">
        <f t="shared" si="1"/>
        <v>0.9285994109197488</v>
      </c>
      <c r="I9" s="60">
        <f t="shared" si="1"/>
        <v>0.9151416593531596</v>
      </c>
      <c r="J9" s="60">
        <f t="shared" si="1"/>
        <v>0.9019427056680224</v>
      </c>
      <c r="K9" s="60">
        <f t="shared" si="1"/>
        <v>0.8889963586709149</v>
      </c>
      <c r="L9" s="60">
        <f t="shared" si="1"/>
        <v>0.8762966040549093</v>
      </c>
      <c r="M9" s="60">
        <f t="shared" si="1"/>
        <v>0.863837598531476</v>
      </c>
      <c r="N9" s="60">
        <f t="shared" si="1"/>
        <v>0.8516136641838227</v>
      </c>
      <c r="O9" s="60">
        <f t="shared" si="1"/>
        <v>0.8396192830323016</v>
      </c>
      <c r="P9" s="60">
        <f t="shared" si="1"/>
        <v>0.8278490918029799</v>
      </c>
      <c r="Q9" s="60">
        <f t="shared" si="1"/>
        <v>0.8162978768908519</v>
      </c>
      <c r="R9" s="60">
        <f t="shared" si="1"/>
        <v>0.804960569509603</v>
      </c>
      <c r="S9" s="60">
        <f t="shared" si="1"/>
        <v>0.7938322410201696</v>
      </c>
      <c r="T9" s="60">
        <f t="shared" si="1"/>
        <v>0.7829080984307292</v>
      </c>
      <c r="U9" s="60">
        <f t="shared" si="2"/>
        <v>0.7721834800610642</v>
      </c>
      <c r="V9" s="60">
        <f t="shared" si="2"/>
        <v>0.7616538513645839</v>
      </c>
      <c r="W9" s="60">
        <f t="shared" si="2"/>
        <v>0.7513148009015775</v>
      </c>
      <c r="X9" s="60">
        <f t="shared" si="2"/>
        <v>0.7411620364575753</v>
      </c>
      <c r="Y9" s="60">
        <f t="shared" si="2"/>
        <v>0.7311913813009502</v>
      </c>
      <c r="Z9" s="60">
        <f t="shared" si="2"/>
        <v>0.7213987705741802</v>
      </c>
      <c r="AA9" s="60">
        <f t="shared" si="2"/>
        <v>0.7117802478134109</v>
      </c>
      <c r="AB9" s="61">
        <f t="shared" si="3"/>
        <v>3</v>
      </c>
    </row>
    <row r="10" spans="3:28" ht="12.75">
      <c r="C10" s="59">
        <v>4</v>
      </c>
      <c r="D10" s="60">
        <f t="shared" si="0"/>
        <v>0.9802475217013038</v>
      </c>
      <c r="E10" s="60">
        <f t="shared" si="1"/>
        <v>0.9609803444828162</v>
      </c>
      <c r="F10" s="60">
        <f t="shared" si="1"/>
        <v>0.9421842302867245</v>
      </c>
      <c r="G10" s="60">
        <f t="shared" si="1"/>
        <v>0.9238454260265142</v>
      </c>
      <c r="H10" s="60">
        <f t="shared" si="1"/>
        <v>0.9059506447997551</v>
      </c>
      <c r="I10" s="60">
        <f t="shared" si="1"/>
        <v>0.888487047915689</v>
      </c>
      <c r="J10" s="60">
        <f t="shared" si="1"/>
        <v>0.8714422276985724</v>
      </c>
      <c r="K10" s="60">
        <f t="shared" si="1"/>
        <v>0.8548041910297257</v>
      </c>
      <c r="L10" s="60">
        <f t="shared" si="1"/>
        <v>0.8385613435932149</v>
      </c>
      <c r="M10" s="60">
        <f t="shared" si="1"/>
        <v>0.822702474791882</v>
      </c>
      <c r="N10" s="60">
        <f t="shared" si="1"/>
        <v>0.8072167433022016</v>
      </c>
      <c r="O10" s="60">
        <f t="shared" si="1"/>
        <v>0.7920936632380204</v>
      </c>
      <c r="P10" s="60">
        <f t="shared" si="1"/>
        <v>0.777323090894817</v>
      </c>
      <c r="Q10" s="60">
        <f t="shared" si="1"/>
        <v>0.7628952120475252</v>
      </c>
      <c r="R10" s="60">
        <f t="shared" si="1"/>
        <v>0.7488005297763749</v>
      </c>
      <c r="S10" s="60">
        <f t="shared" si="1"/>
        <v>0.7350298527964533</v>
      </c>
      <c r="T10" s="60">
        <f t="shared" si="1"/>
        <v>0.7215742842679533</v>
      </c>
      <c r="U10" s="60">
        <f t="shared" si="2"/>
        <v>0.7084252110651964</v>
      </c>
      <c r="V10" s="60">
        <f t="shared" si="2"/>
        <v>0.6955742934836382</v>
      </c>
      <c r="W10" s="60">
        <f t="shared" si="2"/>
        <v>0.6830134553650705</v>
      </c>
      <c r="X10" s="60">
        <f t="shared" si="2"/>
        <v>0.67073487462224</v>
      </c>
      <c r="Y10" s="60">
        <f t="shared" si="2"/>
        <v>0.6587309741450001</v>
      </c>
      <c r="Z10" s="60">
        <f t="shared" si="2"/>
        <v>0.6469944130710136</v>
      </c>
      <c r="AA10" s="60">
        <f t="shared" si="2"/>
        <v>0.6355180784048312</v>
      </c>
      <c r="AB10" s="61">
        <f t="shared" si="3"/>
        <v>4</v>
      </c>
    </row>
    <row r="11" spans="3:28" ht="13.5" thickBot="1">
      <c r="C11" s="62">
        <v>5</v>
      </c>
      <c r="D11" s="63">
        <f t="shared" si="0"/>
        <v>0.9753706683595065</v>
      </c>
      <c r="E11" s="63">
        <f t="shared" si="1"/>
        <v>0.9514656876067489</v>
      </c>
      <c r="F11" s="63">
        <f t="shared" si="1"/>
        <v>0.92826032540564</v>
      </c>
      <c r="G11" s="63">
        <f t="shared" si="1"/>
        <v>0.9057308098299159</v>
      </c>
      <c r="H11" s="63">
        <f t="shared" si="1"/>
        <v>0.8838542876095171</v>
      </c>
      <c r="I11" s="63">
        <f t="shared" si="1"/>
        <v>0.8626087843841641</v>
      </c>
      <c r="J11" s="63">
        <f t="shared" si="1"/>
        <v>0.8419731668585242</v>
      </c>
      <c r="K11" s="63">
        <f t="shared" si="1"/>
        <v>0.8219271067593515</v>
      </c>
      <c r="L11" s="63">
        <f t="shared" si="1"/>
        <v>0.8024510465006841</v>
      </c>
      <c r="M11" s="63">
        <f t="shared" si="1"/>
        <v>0.783526166468459</v>
      </c>
      <c r="N11" s="63">
        <f t="shared" si="1"/>
        <v>0.7651343538409494</v>
      </c>
      <c r="O11" s="63">
        <f t="shared" si="1"/>
        <v>0.7472581728660569</v>
      </c>
      <c r="P11" s="63">
        <f t="shared" si="1"/>
        <v>0.7298808365209549</v>
      </c>
      <c r="Q11" s="63">
        <f t="shared" si="1"/>
        <v>0.7129861794836684</v>
      </c>
      <c r="R11" s="63">
        <f t="shared" si="1"/>
        <v>0.6965586323501162</v>
      </c>
      <c r="S11" s="63">
        <f t="shared" si="1"/>
        <v>0.680583197033753</v>
      </c>
      <c r="T11" s="63">
        <f t="shared" si="1"/>
        <v>0.6650454232884362</v>
      </c>
      <c r="U11" s="63">
        <f t="shared" si="2"/>
        <v>0.6499313862983452</v>
      </c>
      <c r="V11" s="63">
        <f t="shared" si="2"/>
        <v>0.6352276652818614</v>
      </c>
      <c r="W11" s="63">
        <f t="shared" si="2"/>
        <v>0.6209213230591549</v>
      </c>
      <c r="X11" s="63">
        <f t="shared" si="2"/>
        <v>0.6069998865359638</v>
      </c>
      <c r="Y11" s="63">
        <f t="shared" si="2"/>
        <v>0.5934513280585586</v>
      </c>
      <c r="Z11" s="63">
        <f t="shared" si="2"/>
        <v>0.5802640475973215</v>
      </c>
      <c r="AA11" s="63">
        <f t="shared" si="2"/>
        <v>0.5674268557185992</v>
      </c>
      <c r="AB11" s="64">
        <f t="shared" si="3"/>
        <v>5</v>
      </c>
    </row>
    <row r="12" spans="3:28" ht="13.5" thickTop="1">
      <c r="C12" s="59">
        <v>6</v>
      </c>
      <c r="D12" s="60">
        <f t="shared" si="0"/>
        <v>0.9705180779696584</v>
      </c>
      <c r="E12" s="60">
        <f t="shared" si="1"/>
        <v>0.9420452352542066</v>
      </c>
      <c r="F12" s="60">
        <f t="shared" si="1"/>
        <v>0.914542192517872</v>
      </c>
      <c r="G12" s="60">
        <f t="shared" si="1"/>
        <v>0.887971382186192</v>
      </c>
      <c r="H12" s="60">
        <f t="shared" si="1"/>
        <v>0.8622968659605046</v>
      </c>
      <c r="I12" s="60">
        <f t="shared" si="1"/>
        <v>0.8374842566836544</v>
      </c>
      <c r="J12" s="60">
        <f t="shared" si="1"/>
        <v>0.8135006443077528</v>
      </c>
      <c r="K12" s="60">
        <f t="shared" si="1"/>
        <v>0.7903145257301457</v>
      </c>
      <c r="L12" s="60">
        <f t="shared" si="1"/>
        <v>0.7678957382781668</v>
      </c>
      <c r="M12" s="60">
        <f t="shared" si="1"/>
        <v>0.7462153966366276</v>
      </c>
      <c r="N12" s="60">
        <f t="shared" si="1"/>
        <v>0.7252458330245966</v>
      </c>
      <c r="O12" s="60">
        <f t="shared" si="1"/>
        <v>0.7049605404396763</v>
      </c>
      <c r="P12" s="60">
        <f t="shared" si="1"/>
        <v>0.6853341187990187</v>
      </c>
      <c r="Q12" s="60">
        <f t="shared" si="1"/>
        <v>0.6663422238165125</v>
      </c>
      <c r="R12" s="60">
        <f t="shared" si="1"/>
        <v>0.6479615184652244</v>
      </c>
      <c r="S12" s="60">
        <f t="shared" si="1"/>
        <v>0.6301696268831045</v>
      </c>
      <c r="T12" s="60">
        <f t="shared" si="1"/>
        <v>0.6129450905884205</v>
      </c>
      <c r="U12" s="60">
        <f t="shared" si="2"/>
        <v>0.5962673268792158</v>
      </c>
      <c r="V12" s="60">
        <f t="shared" si="2"/>
        <v>0.5801165892985035</v>
      </c>
      <c r="W12" s="60">
        <f t="shared" si="2"/>
        <v>0.5644739300537772</v>
      </c>
      <c r="X12" s="60">
        <f t="shared" si="2"/>
        <v>0.54932116428594</v>
      </c>
      <c r="Y12" s="60">
        <f t="shared" si="2"/>
        <v>0.5346408360887915</v>
      </c>
      <c r="Z12" s="60">
        <f t="shared" si="2"/>
        <v>0.5204161861859387</v>
      </c>
      <c r="AA12" s="60">
        <f t="shared" si="2"/>
        <v>0.5066311211773207</v>
      </c>
      <c r="AB12" s="61">
        <f t="shared" si="3"/>
        <v>6</v>
      </c>
    </row>
    <row r="13" spans="3:28" ht="12.75">
      <c r="C13" s="59">
        <v>7</v>
      </c>
      <c r="D13" s="60">
        <f t="shared" si="0"/>
        <v>0.9656896298205556</v>
      </c>
      <c r="E13" s="60">
        <f t="shared" si="1"/>
        <v>0.9327180547071355</v>
      </c>
      <c r="F13" s="60">
        <f t="shared" si="1"/>
        <v>0.9010267906580022</v>
      </c>
      <c r="G13" s="60">
        <f t="shared" si="1"/>
        <v>0.8705601786139139</v>
      </c>
      <c r="H13" s="60">
        <f t="shared" si="1"/>
        <v>0.8412652350834191</v>
      </c>
      <c r="I13" s="60">
        <f t="shared" si="1"/>
        <v>0.8130915113433538</v>
      </c>
      <c r="J13" s="60">
        <f t="shared" si="1"/>
        <v>0.7859909606838191</v>
      </c>
      <c r="K13" s="60">
        <f t="shared" si="1"/>
        <v>0.7599178132020633</v>
      </c>
      <c r="L13" s="60">
        <f t="shared" si="1"/>
        <v>0.7348284576824562</v>
      </c>
      <c r="M13" s="60">
        <f t="shared" si="1"/>
        <v>0.7106813301301215</v>
      </c>
      <c r="N13" s="60">
        <f t="shared" si="1"/>
        <v>0.68743680855412</v>
      </c>
      <c r="O13" s="60">
        <f t="shared" si="1"/>
        <v>0.665057113622336</v>
      </c>
      <c r="P13" s="60">
        <f t="shared" si="1"/>
        <v>0.6435062148347594</v>
      </c>
      <c r="Q13" s="60">
        <f t="shared" si="1"/>
        <v>0.6227497418845911</v>
      </c>
      <c r="R13" s="60">
        <f t="shared" si="1"/>
        <v>0.6027549008978832</v>
      </c>
      <c r="S13" s="60">
        <f t="shared" si="1"/>
        <v>0.5834903952621339</v>
      </c>
      <c r="T13" s="60">
        <f t="shared" si="1"/>
        <v>0.5649263507727378</v>
      </c>
      <c r="U13" s="60">
        <f t="shared" si="2"/>
        <v>0.5470342448433173</v>
      </c>
      <c r="V13" s="60">
        <f t="shared" si="2"/>
        <v>0.5297868395420123</v>
      </c>
      <c r="W13" s="60">
        <f t="shared" si="2"/>
        <v>0.5131581182307065</v>
      </c>
      <c r="X13" s="60">
        <f t="shared" si="2"/>
        <v>0.4971232255981358</v>
      </c>
      <c r="Y13" s="60">
        <f t="shared" si="2"/>
        <v>0.4816584108908032</v>
      </c>
      <c r="Z13" s="60">
        <f t="shared" si="2"/>
        <v>0.4667409741577925</v>
      </c>
      <c r="AA13" s="60">
        <f t="shared" si="2"/>
        <v>0.45234921533689343</v>
      </c>
      <c r="AB13" s="61">
        <f t="shared" si="3"/>
        <v>7</v>
      </c>
    </row>
    <row r="14" spans="3:28" ht="12.75">
      <c r="C14" s="59">
        <v>8</v>
      </c>
      <c r="D14" s="60">
        <f t="shared" si="0"/>
        <v>0.960885203801548</v>
      </c>
      <c r="E14" s="60">
        <f t="shared" si="1"/>
        <v>0.9234832224823122</v>
      </c>
      <c r="F14" s="60">
        <f t="shared" si="1"/>
        <v>0.8877111238009875</v>
      </c>
      <c r="G14" s="60">
        <f t="shared" si="1"/>
        <v>0.8534903711901116</v>
      </c>
      <c r="H14" s="60">
        <f t="shared" si="1"/>
        <v>0.8207465708130919</v>
      </c>
      <c r="I14" s="60">
        <f t="shared" si="1"/>
        <v>0.7894092343139357</v>
      </c>
      <c r="J14" s="60">
        <f t="shared" si="1"/>
        <v>0.7594115562162506</v>
      </c>
      <c r="K14" s="60">
        <f t="shared" si="1"/>
        <v>0.7306902050019838</v>
      </c>
      <c r="L14" s="60">
        <f t="shared" si="1"/>
        <v>0.7031851269688578</v>
      </c>
      <c r="M14" s="60">
        <f t="shared" si="1"/>
        <v>0.6768393620286872</v>
      </c>
      <c r="N14" s="60">
        <f t="shared" si="1"/>
        <v>0.6515988706674124</v>
      </c>
      <c r="O14" s="60">
        <f t="shared" si="1"/>
        <v>0.6274123713418265</v>
      </c>
      <c r="P14" s="60">
        <f t="shared" si="1"/>
        <v>0.6042311876382719</v>
      </c>
      <c r="Q14" s="60">
        <f t="shared" si="1"/>
        <v>0.5820091045650384</v>
      </c>
      <c r="R14" s="60">
        <f t="shared" si="1"/>
        <v>0.5607022333933797</v>
      </c>
      <c r="S14" s="60">
        <f t="shared" si="1"/>
        <v>0.5402688845019757</v>
      </c>
      <c r="T14" s="60">
        <f t="shared" si="1"/>
        <v>0.520669447716809</v>
      </c>
      <c r="U14" s="60">
        <f t="shared" si="2"/>
        <v>0.5018662796727681</v>
      </c>
      <c r="V14" s="60">
        <f t="shared" si="2"/>
        <v>0.4838235977552624</v>
      </c>
      <c r="W14" s="60">
        <f t="shared" si="2"/>
        <v>0.46650738020973315</v>
      </c>
      <c r="X14" s="60">
        <f t="shared" si="2"/>
        <v>0.44988527203451206</v>
      </c>
      <c r="Y14" s="60">
        <f t="shared" si="2"/>
        <v>0.43392649629802077</v>
      </c>
      <c r="Z14" s="60">
        <f t="shared" si="2"/>
        <v>0.41860177054510533</v>
      </c>
      <c r="AA14" s="60">
        <f t="shared" si="2"/>
        <v>0.4038832279793691</v>
      </c>
      <c r="AB14" s="61">
        <f t="shared" si="3"/>
        <v>8</v>
      </c>
    </row>
    <row r="15" spans="3:28" ht="12.75">
      <c r="C15" s="59">
        <v>9</v>
      </c>
      <c r="D15" s="60">
        <f t="shared" si="0"/>
        <v>0.9561046803995503</v>
      </c>
      <c r="E15" s="60">
        <f t="shared" si="1"/>
        <v>0.9143398242399129</v>
      </c>
      <c r="F15" s="60">
        <f t="shared" si="1"/>
        <v>0.8745922401980173</v>
      </c>
      <c r="G15" s="60">
        <f t="shared" si="1"/>
        <v>0.8367552658726585</v>
      </c>
      <c r="H15" s="60">
        <f t="shared" si="1"/>
        <v>0.8007283617688703</v>
      </c>
      <c r="I15" s="60">
        <f t="shared" si="1"/>
        <v>0.766416732343627</v>
      </c>
      <c r="J15" s="60">
        <f t="shared" si="1"/>
        <v>0.7337309721896141</v>
      </c>
      <c r="K15" s="60">
        <f t="shared" si="1"/>
        <v>0.7025867355788304</v>
      </c>
      <c r="L15" s="60">
        <f t="shared" si="1"/>
        <v>0.6729044277213951</v>
      </c>
      <c r="M15" s="60">
        <f t="shared" si="1"/>
        <v>0.6446089162177973</v>
      </c>
      <c r="N15" s="60">
        <f t="shared" si="1"/>
        <v>0.6176292612961255</v>
      </c>
      <c r="O15" s="60">
        <f t="shared" si="1"/>
        <v>0.591898463530025</v>
      </c>
      <c r="P15" s="60">
        <f t="shared" si="1"/>
        <v>0.5673532278293633</v>
      </c>
      <c r="Q15" s="60">
        <f t="shared" si="1"/>
        <v>0.5439337425841481</v>
      </c>
      <c r="R15" s="60">
        <f t="shared" si="1"/>
        <v>0.5215834729240741</v>
      </c>
      <c r="S15" s="60">
        <f t="shared" si="1"/>
        <v>0.500248967131459</v>
      </c>
      <c r="T15" s="60">
        <f t="shared" si="1"/>
        <v>0.4798796753150314</v>
      </c>
      <c r="U15" s="60">
        <f t="shared" si="2"/>
        <v>0.460427779516301</v>
      </c>
      <c r="V15" s="60">
        <f t="shared" si="2"/>
        <v>0.44184803447969173</v>
      </c>
      <c r="W15" s="60">
        <f t="shared" si="2"/>
        <v>0.42409761837248466</v>
      </c>
      <c r="X15" s="60">
        <f t="shared" si="2"/>
        <v>0.40713599279141366</v>
      </c>
      <c r="Y15" s="60">
        <f t="shared" si="2"/>
        <v>0.3909247714396583</v>
      </c>
      <c r="Z15" s="60">
        <f t="shared" si="2"/>
        <v>0.3754275969014398</v>
      </c>
      <c r="AA15" s="60">
        <f t="shared" si="2"/>
        <v>0.36061002498157957</v>
      </c>
      <c r="AB15" s="61">
        <f t="shared" si="3"/>
        <v>9</v>
      </c>
    </row>
    <row r="16" spans="3:28" ht="13.5" thickBot="1">
      <c r="C16" s="62">
        <v>10</v>
      </c>
      <c r="D16" s="63">
        <f t="shared" si="0"/>
        <v>0.9513479406960701</v>
      </c>
      <c r="E16" s="63">
        <f t="shared" si="1"/>
        <v>0.9052869546929831</v>
      </c>
      <c r="F16" s="63">
        <f t="shared" si="1"/>
        <v>0.8616672317221846</v>
      </c>
      <c r="G16" s="63">
        <f t="shared" si="1"/>
        <v>0.8203482998751553</v>
      </c>
      <c r="H16" s="63">
        <f t="shared" si="1"/>
        <v>0.7811984017257271</v>
      </c>
      <c r="I16" s="63">
        <f t="shared" si="1"/>
        <v>0.7440939148967252</v>
      </c>
      <c r="J16" s="63">
        <f t="shared" si="1"/>
        <v>0.7089188137097722</v>
      </c>
      <c r="K16" s="63">
        <f t="shared" si="1"/>
        <v>0.6755641688257985</v>
      </c>
      <c r="L16" s="63">
        <f t="shared" si="1"/>
        <v>0.6439276820300432</v>
      </c>
      <c r="M16" s="63">
        <f t="shared" si="1"/>
        <v>0.6139132535407593</v>
      </c>
      <c r="N16" s="63">
        <f t="shared" si="1"/>
        <v>0.5854305794276071</v>
      </c>
      <c r="O16" s="63">
        <f t="shared" si="1"/>
        <v>0.5583947769151179</v>
      </c>
      <c r="P16" s="63">
        <f t="shared" si="1"/>
        <v>0.5327260355205289</v>
      </c>
      <c r="Q16" s="63">
        <f t="shared" si="1"/>
        <v>0.5083492921347178</v>
      </c>
      <c r="R16" s="63">
        <f t="shared" si="1"/>
        <v>0.4851939283014644</v>
      </c>
      <c r="S16" s="63">
        <f t="shared" si="1"/>
        <v>0.46319348808468425</v>
      </c>
      <c r="T16" s="63">
        <f t="shared" si="1"/>
        <v>0.4422854150368953</v>
      </c>
      <c r="U16" s="63">
        <f t="shared" si="2"/>
        <v>0.42241080689568894</v>
      </c>
      <c r="V16" s="63">
        <f t="shared" si="2"/>
        <v>0.40351418673944445</v>
      </c>
      <c r="W16" s="63">
        <f t="shared" si="2"/>
        <v>0.3855432894295315</v>
      </c>
      <c r="X16" s="63">
        <f t="shared" si="2"/>
        <v>0.36844886225467294</v>
      </c>
      <c r="Y16" s="63">
        <f t="shared" si="2"/>
        <v>0.3521844787744669</v>
      </c>
      <c r="Z16" s="63">
        <f t="shared" si="2"/>
        <v>0.33670636493402667</v>
      </c>
      <c r="AA16" s="63">
        <f t="shared" si="2"/>
        <v>0.321973236590696</v>
      </c>
      <c r="AB16" s="64">
        <f t="shared" si="3"/>
        <v>10</v>
      </c>
    </row>
    <row r="17" spans="3:28" ht="13.5" thickTop="1">
      <c r="C17" s="59">
        <v>11</v>
      </c>
      <c r="D17" s="60">
        <f t="shared" si="0"/>
        <v>0.946614866364249</v>
      </c>
      <c r="E17" s="60">
        <f t="shared" si="1"/>
        <v>0.8963237175178053</v>
      </c>
      <c r="F17" s="60">
        <f t="shared" si="1"/>
        <v>0.8489332332238273</v>
      </c>
      <c r="G17" s="60">
        <f t="shared" si="1"/>
        <v>0.8042630390932897</v>
      </c>
      <c r="H17" s="60">
        <f t="shared" si="1"/>
        <v>0.7621447821714411</v>
      </c>
      <c r="I17" s="60">
        <f t="shared" si="1"/>
        <v>0.7224212765987623</v>
      </c>
      <c r="J17" s="60">
        <f t="shared" si="1"/>
        <v>0.6849457137292485</v>
      </c>
      <c r="K17" s="60">
        <f t="shared" si="1"/>
        <v>0.6495809315632679</v>
      </c>
      <c r="L17" s="60">
        <f t="shared" si="1"/>
        <v>0.6161987387847304</v>
      </c>
      <c r="M17" s="60">
        <f t="shared" si="1"/>
        <v>0.5846792890864374</v>
      </c>
      <c r="N17" s="60">
        <f t="shared" si="1"/>
        <v>0.5549105018271158</v>
      </c>
      <c r="O17" s="60">
        <f t="shared" si="1"/>
        <v>0.5267875253916205</v>
      </c>
      <c r="P17" s="60">
        <f t="shared" si="1"/>
        <v>0.5002122399253793</v>
      </c>
      <c r="Q17" s="60">
        <f t="shared" si="1"/>
        <v>0.47509279638758667</v>
      </c>
      <c r="R17" s="60">
        <f t="shared" si="1"/>
        <v>0.45134318911764126</v>
      </c>
      <c r="S17" s="60">
        <f t="shared" si="1"/>
        <v>0.4288828593376706</v>
      </c>
      <c r="T17" s="60">
        <f t="shared" si="1"/>
        <v>0.40763632722294496</v>
      </c>
      <c r="U17" s="60">
        <f t="shared" si="2"/>
        <v>0.3875328503630174</v>
      </c>
      <c r="V17" s="60">
        <f t="shared" si="2"/>
        <v>0.3685061066113648</v>
      </c>
      <c r="W17" s="60">
        <f t="shared" si="2"/>
        <v>0.3504938994813922</v>
      </c>
      <c r="X17" s="60">
        <f t="shared" si="2"/>
        <v>0.3334378843933692</v>
      </c>
      <c r="Y17" s="60">
        <f t="shared" si="2"/>
        <v>0.31728331421123146</v>
      </c>
      <c r="Z17" s="60">
        <f t="shared" si="2"/>
        <v>0.3019788026314141</v>
      </c>
      <c r="AA17" s="60">
        <f t="shared" si="2"/>
        <v>0.28747610409883567</v>
      </c>
      <c r="AB17" s="61">
        <f t="shared" si="3"/>
        <v>11</v>
      </c>
    </row>
    <row r="18" spans="3:28" ht="12.75">
      <c r="C18" s="59">
        <v>12</v>
      </c>
      <c r="D18" s="60">
        <f t="shared" si="0"/>
        <v>0.9419053396659197</v>
      </c>
      <c r="E18" s="60">
        <f t="shared" si="1"/>
        <v>0.8874492252651537</v>
      </c>
      <c r="F18" s="60">
        <f t="shared" si="1"/>
        <v>0.8363874218953966</v>
      </c>
      <c r="G18" s="60">
        <f t="shared" si="1"/>
        <v>0.7884931755816564</v>
      </c>
      <c r="H18" s="60">
        <f t="shared" si="1"/>
        <v>0.7435558850453085</v>
      </c>
      <c r="I18" s="60">
        <f t="shared" si="1"/>
        <v>0.7013798801929733</v>
      </c>
      <c r="J18" s="60">
        <f t="shared" si="1"/>
        <v>0.661783298289129</v>
      </c>
      <c r="K18" s="60">
        <f t="shared" si="1"/>
        <v>0.6245970495800651</v>
      </c>
      <c r="L18" s="60">
        <f t="shared" si="1"/>
        <v>0.5896638648657708</v>
      </c>
      <c r="M18" s="60">
        <f t="shared" si="1"/>
        <v>0.5568374181775595</v>
      </c>
      <c r="N18" s="60">
        <f t="shared" si="1"/>
        <v>0.5259815183195411</v>
      </c>
      <c r="O18" s="60">
        <f t="shared" si="1"/>
        <v>0.4969693635770005</v>
      </c>
      <c r="P18" s="60">
        <f t="shared" si="1"/>
        <v>0.4696828543900276</v>
      </c>
      <c r="Q18" s="60">
        <f t="shared" si="1"/>
        <v>0.4440119592407353</v>
      </c>
      <c r="R18" s="60">
        <f t="shared" si="1"/>
        <v>0.4198541294117593</v>
      </c>
      <c r="S18" s="60">
        <f t="shared" si="1"/>
        <v>0.39711375864599124</v>
      </c>
      <c r="T18" s="60">
        <f t="shared" si="1"/>
        <v>0.37570168407644705</v>
      </c>
      <c r="U18" s="60">
        <f t="shared" si="2"/>
        <v>0.35553472510368567</v>
      </c>
      <c r="V18" s="60">
        <f t="shared" si="2"/>
        <v>0.3365352571793286</v>
      </c>
      <c r="W18" s="60">
        <f t="shared" si="2"/>
        <v>0.31863081771035656</v>
      </c>
      <c r="X18" s="60">
        <f t="shared" si="2"/>
        <v>0.3017537415324608</v>
      </c>
      <c r="Y18" s="60">
        <f t="shared" si="2"/>
        <v>0.285840823613722</v>
      </c>
      <c r="Z18" s="60">
        <f t="shared" si="2"/>
        <v>0.2708330068443175</v>
      </c>
      <c r="AA18" s="60">
        <f t="shared" si="2"/>
        <v>0.25667509294538904</v>
      </c>
      <c r="AB18" s="61">
        <f t="shared" si="3"/>
        <v>12</v>
      </c>
    </row>
    <row r="19" spans="3:28" ht="12.75">
      <c r="C19" s="59">
        <v>13</v>
      </c>
      <c r="D19" s="60">
        <f t="shared" si="0"/>
        <v>0.9372192434486764</v>
      </c>
      <c r="E19" s="60">
        <f t="shared" si="1"/>
        <v>0.8786625992724293</v>
      </c>
      <c r="F19" s="60">
        <f t="shared" si="1"/>
        <v>0.824027016645711</v>
      </c>
      <c r="G19" s="60">
        <f t="shared" si="1"/>
        <v>0.7730325250800554</v>
      </c>
      <c r="H19" s="60">
        <f t="shared" si="1"/>
        <v>0.7254203756539594</v>
      </c>
      <c r="I19" s="60">
        <f t="shared" si="1"/>
        <v>0.6809513399931779</v>
      </c>
      <c r="J19" s="60">
        <f t="shared" si="1"/>
        <v>0.6394041529363567</v>
      </c>
      <c r="K19" s="60">
        <f t="shared" si="1"/>
        <v>0.600574086134678</v>
      </c>
      <c r="L19" s="60">
        <f t="shared" si="1"/>
        <v>0.5642716410198764</v>
      </c>
      <c r="M19" s="60">
        <f t="shared" si="1"/>
        <v>0.5303213506452946</v>
      </c>
      <c r="N19" s="60">
        <f t="shared" si="1"/>
        <v>0.49856068087160293</v>
      </c>
      <c r="O19" s="60">
        <f t="shared" si="1"/>
        <v>0.4688390222424533</v>
      </c>
      <c r="P19" s="60">
        <f t="shared" si="1"/>
        <v>0.4410167646854719</v>
      </c>
      <c r="Q19" s="60">
        <f t="shared" si="1"/>
        <v>0.4149644478885376</v>
      </c>
      <c r="R19" s="60">
        <f t="shared" si="1"/>
        <v>0.3905619808481482</v>
      </c>
      <c r="S19" s="60">
        <f t="shared" si="1"/>
        <v>0.3676979246722141</v>
      </c>
      <c r="T19" s="60">
        <f t="shared" si="1"/>
        <v>0.3462688332501816</v>
      </c>
      <c r="U19" s="60">
        <f t="shared" si="2"/>
        <v>0.32617864688411524</v>
      </c>
      <c r="V19" s="60">
        <f t="shared" si="2"/>
        <v>0.30733813441034574</v>
      </c>
      <c r="W19" s="60">
        <f t="shared" si="2"/>
        <v>0.2896643797366878</v>
      </c>
      <c r="X19" s="60">
        <f t="shared" si="2"/>
        <v>0.27308030907915004</v>
      </c>
      <c r="Y19" s="60">
        <f t="shared" si="2"/>
        <v>0.25751425550785767</v>
      </c>
      <c r="Z19" s="60">
        <f t="shared" si="2"/>
        <v>0.2428995577079081</v>
      </c>
      <c r="AA19" s="60">
        <f t="shared" si="2"/>
        <v>0.22917419012981158</v>
      </c>
      <c r="AB19" s="61">
        <f t="shared" si="3"/>
        <v>13</v>
      </c>
    </row>
    <row r="20" spans="3:28" ht="12.75">
      <c r="C20" s="59">
        <v>14</v>
      </c>
      <c r="D20" s="60">
        <f t="shared" si="0"/>
        <v>0.9325564611429618</v>
      </c>
      <c r="E20" s="60">
        <f t="shared" si="1"/>
        <v>0.8699629695766626</v>
      </c>
      <c r="F20" s="60">
        <f t="shared" si="1"/>
        <v>0.8118492774834593</v>
      </c>
      <c r="G20" s="60">
        <f t="shared" si="1"/>
        <v>0.7578750245882895</v>
      </c>
      <c r="H20" s="60">
        <f t="shared" si="1"/>
        <v>0.7077271957599606</v>
      </c>
      <c r="I20" s="60">
        <f t="shared" si="1"/>
        <v>0.6611178058186192</v>
      </c>
      <c r="J20" s="60">
        <f t="shared" si="1"/>
        <v>0.617781790276673</v>
      </c>
      <c r="K20" s="60">
        <f t="shared" si="1"/>
        <v>0.5774750828218058</v>
      </c>
      <c r="L20" s="60">
        <f t="shared" si="1"/>
        <v>0.5399728622199775</v>
      </c>
      <c r="M20" s="60">
        <f t="shared" si="1"/>
        <v>0.5050679529955189</v>
      </c>
      <c r="N20" s="60">
        <f t="shared" si="1"/>
        <v>0.47256936575507386</v>
      </c>
      <c r="O20" s="60">
        <f t="shared" si="1"/>
        <v>0.4423009643796729</v>
      </c>
      <c r="P20" s="60">
        <f t="shared" si="1"/>
        <v>0.41410024853095956</v>
      </c>
      <c r="Q20" s="60">
        <f t="shared" si="1"/>
        <v>0.3878172410173249</v>
      </c>
      <c r="R20" s="60">
        <f t="shared" si="1"/>
        <v>0.36331347055641694</v>
      </c>
      <c r="S20" s="60">
        <f t="shared" si="1"/>
        <v>0.3404610413631612</v>
      </c>
      <c r="T20" s="60">
        <f t="shared" si="1"/>
        <v>0.31914178179740244</v>
      </c>
      <c r="U20" s="60">
        <f t="shared" si="2"/>
        <v>0.29924646503129837</v>
      </c>
      <c r="V20" s="60">
        <f t="shared" si="2"/>
        <v>0.2806740953519139</v>
      </c>
      <c r="W20" s="60">
        <f t="shared" si="2"/>
        <v>0.26333125430607973</v>
      </c>
      <c r="X20" s="60">
        <f t="shared" si="2"/>
        <v>0.24713150142909504</v>
      </c>
      <c r="Y20" s="60">
        <f t="shared" si="2"/>
        <v>0.23199482478185374</v>
      </c>
      <c r="Z20" s="60">
        <f t="shared" si="2"/>
        <v>0.21784713695776511</v>
      </c>
      <c r="AA20" s="60">
        <f t="shared" si="2"/>
        <v>0.20461981261590317</v>
      </c>
      <c r="AB20" s="61">
        <f t="shared" si="3"/>
        <v>14</v>
      </c>
    </row>
    <row r="21" spans="3:28" ht="13.5" thickBot="1">
      <c r="C21" s="62">
        <v>15</v>
      </c>
      <c r="D21" s="63">
        <f t="shared" si="0"/>
        <v>0.9279168767591661</v>
      </c>
      <c r="E21" s="63">
        <f t="shared" si="1"/>
        <v>0.8613494748283791</v>
      </c>
      <c r="F21" s="63">
        <f t="shared" si="1"/>
        <v>0.7998515049098122</v>
      </c>
      <c r="G21" s="63">
        <f t="shared" si="1"/>
        <v>0.7430147299885193</v>
      </c>
      <c r="H21" s="63">
        <f t="shared" si="1"/>
        <v>0.6904655568389858</v>
      </c>
      <c r="I21" s="63">
        <f t="shared" si="1"/>
        <v>0.6418619473967176</v>
      </c>
      <c r="J21" s="63">
        <f t="shared" si="1"/>
        <v>0.596890618624805</v>
      </c>
      <c r="K21" s="63">
        <f t="shared" si="1"/>
        <v>0.5552645027132748</v>
      </c>
      <c r="L21" s="63">
        <f t="shared" si="1"/>
        <v>0.516720442315768</v>
      </c>
      <c r="M21" s="63">
        <f t="shared" si="1"/>
        <v>0.4810170980909702</v>
      </c>
      <c r="N21" s="63">
        <f t="shared" si="1"/>
        <v>0.4479330481090748</v>
      </c>
      <c r="O21" s="63">
        <f t="shared" si="1"/>
        <v>0.41726506073554037</v>
      </c>
      <c r="P21" s="63">
        <f t="shared" si="1"/>
        <v>0.38882652444221566</v>
      </c>
      <c r="Q21" s="63">
        <f t="shared" si="1"/>
        <v>0.3624460196423597</v>
      </c>
      <c r="R21" s="63">
        <f t="shared" si="1"/>
        <v>0.33796601912224833</v>
      </c>
      <c r="S21" s="63">
        <f t="shared" si="1"/>
        <v>0.31524170496588994</v>
      </c>
      <c r="T21" s="63">
        <f t="shared" si="1"/>
        <v>0.2941398910575137</v>
      </c>
      <c r="U21" s="63">
        <f t="shared" si="2"/>
        <v>0.27453804131311776</v>
      </c>
      <c r="V21" s="63">
        <f t="shared" si="2"/>
        <v>0.25632337475060635</v>
      </c>
      <c r="W21" s="63">
        <f t="shared" si="2"/>
        <v>0.2393920493691634</v>
      </c>
      <c r="X21" s="63">
        <f t="shared" si="2"/>
        <v>0.22364841758289142</v>
      </c>
      <c r="Y21" s="63">
        <f t="shared" si="2"/>
        <v>0.2090043466503187</v>
      </c>
      <c r="Z21" s="63">
        <f t="shared" si="2"/>
        <v>0.1953785981683992</v>
      </c>
      <c r="AA21" s="63">
        <f t="shared" si="2"/>
        <v>0.18269626126419927</v>
      </c>
      <c r="AB21" s="64">
        <f t="shared" si="3"/>
        <v>15</v>
      </c>
    </row>
    <row r="22" spans="3:28" ht="13.5" thickTop="1">
      <c r="C22" s="59">
        <v>16</v>
      </c>
      <c r="D22" s="60">
        <f t="shared" si="0"/>
        <v>0.9233003748847425</v>
      </c>
      <c r="E22" s="60">
        <f t="shared" si="1"/>
        <v>0.8528212622063156</v>
      </c>
      <c r="F22" s="60">
        <f t="shared" si="1"/>
        <v>0.7880310393200121</v>
      </c>
      <c r="G22" s="60">
        <f t="shared" si="1"/>
        <v>0.7284458137142344</v>
      </c>
      <c r="H22" s="60">
        <f t="shared" si="1"/>
        <v>0.6736249335014496</v>
      </c>
      <c r="I22" s="60">
        <f t="shared" si="1"/>
        <v>0.6231669392201143</v>
      </c>
      <c r="J22" s="60">
        <f t="shared" si="1"/>
        <v>0.5767059117147875</v>
      </c>
      <c r="K22" s="60">
        <f t="shared" si="1"/>
        <v>0.533908175685841</v>
      </c>
      <c r="L22" s="60">
        <f t="shared" si="1"/>
        <v>0.4944693227902088</v>
      </c>
      <c r="M22" s="60">
        <f t="shared" si="1"/>
        <v>0.4581115219914002</v>
      </c>
      <c r="N22" s="60">
        <f t="shared" si="1"/>
        <v>0.4245810882550472</v>
      </c>
      <c r="O22" s="60">
        <f t="shared" si="1"/>
        <v>0.39364628371277405</v>
      </c>
      <c r="P22" s="60">
        <f t="shared" si="1"/>
        <v>0.3650953281147565</v>
      </c>
      <c r="Q22" s="60">
        <f t="shared" si="1"/>
        <v>0.33873459779659787</v>
      </c>
      <c r="R22" s="60">
        <f t="shared" si="1"/>
        <v>0.31438699453232405</v>
      </c>
      <c r="S22" s="60">
        <f t="shared" si="1"/>
        <v>0.2918904675610092</v>
      </c>
      <c r="T22" s="60">
        <f aca="true" t="shared" si="4" ref="T22:AA37">PV(T$6,$C22,,-$B$7)</f>
        <v>0.27109667378572694</v>
      </c>
      <c r="U22" s="60">
        <f t="shared" si="2"/>
        <v>0.2518697626725851</v>
      </c>
      <c r="V22" s="60">
        <f t="shared" si="2"/>
        <v>0.23408527374484595</v>
      </c>
      <c r="W22" s="60">
        <f t="shared" si="2"/>
        <v>0.21762913579014853</v>
      </c>
      <c r="X22" s="60">
        <f t="shared" si="2"/>
        <v>0.20239675799356693</v>
      </c>
      <c r="Y22" s="60">
        <f t="shared" si="2"/>
        <v>0.18829220418947626</v>
      </c>
      <c r="Z22" s="60">
        <f t="shared" si="2"/>
        <v>0.17522744230349702</v>
      </c>
      <c r="AA22" s="60">
        <f t="shared" si="2"/>
        <v>0.16312166184303503</v>
      </c>
      <c r="AB22" s="61">
        <f t="shared" si="3"/>
        <v>16</v>
      </c>
    </row>
    <row r="23" spans="3:28" ht="12.75">
      <c r="C23" s="59">
        <v>17</v>
      </c>
      <c r="D23" s="60">
        <f t="shared" si="0"/>
        <v>0.9187068406813359</v>
      </c>
      <c r="E23" s="60">
        <f aca="true" t="shared" si="5" ref="E23:S23">PV(E$6,$C23,,-$B$7)</f>
        <v>0.8443774873329857</v>
      </c>
      <c r="F23" s="60">
        <f t="shared" si="5"/>
        <v>0.7763852604138052</v>
      </c>
      <c r="G23" s="60">
        <f t="shared" si="5"/>
        <v>0.7141625624649357</v>
      </c>
      <c r="H23" s="60">
        <f t="shared" si="5"/>
        <v>0.657195057074585</v>
      </c>
      <c r="I23" s="60">
        <f t="shared" si="5"/>
        <v>0.6050164458447712</v>
      </c>
      <c r="J23" s="60">
        <f t="shared" si="5"/>
        <v>0.5572037794345773</v>
      </c>
      <c r="K23" s="60">
        <f t="shared" si="5"/>
        <v>0.5133732458517702</v>
      </c>
      <c r="L23" s="60">
        <f t="shared" si="5"/>
        <v>0.4731763854451758</v>
      </c>
      <c r="M23" s="60">
        <f t="shared" si="5"/>
        <v>0.43629668761085727</v>
      </c>
      <c r="N23" s="60">
        <f t="shared" si="5"/>
        <v>0.40244652915170354</v>
      </c>
      <c r="O23" s="60">
        <f t="shared" si="5"/>
        <v>0.37136441859695657</v>
      </c>
      <c r="P23" s="60">
        <f t="shared" si="5"/>
        <v>0.34281251466174323</v>
      </c>
      <c r="Q23" s="60">
        <f t="shared" si="5"/>
        <v>0.3165743904641102</v>
      </c>
      <c r="R23" s="60">
        <f t="shared" si="5"/>
        <v>0.2924530181696038</v>
      </c>
      <c r="S23" s="60">
        <f t="shared" si="5"/>
        <v>0.27026895144537894</v>
      </c>
      <c r="T23" s="60">
        <f t="shared" si="4"/>
        <v>0.24985868551679907</v>
      </c>
      <c r="U23" s="60">
        <f t="shared" si="4"/>
        <v>0.23107317676383954</v>
      </c>
      <c r="V23" s="60">
        <f t="shared" si="4"/>
        <v>0.21377650570305565</v>
      </c>
      <c r="W23" s="60">
        <f t="shared" si="4"/>
        <v>0.19784466890013502</v>
      </c>
      <c r="X23" s="60">
        <f t="shared" si="4"/>
        <v>0.1831644868720063</v>
      </c>
      <c r="Y23" s="60">
        <f t="shared" si="4"/>
        <v>0.16963261638691554</v>
      </c>
      <c r="Z23" s="60">
        <f t="shared" si="4"/>
        <v>0.15715465677443677</v>
      </c>
      <c r="AA23" s="60">
        <f t="shared" si="4"/>
        <v>0.14564434093128129</v>
      </c>
      <c r="AB23" s="61">
        <f t="shared" si="3"/>
        <v>17</v>
      </c>
    </row>
    <row r="24" spans="3:28" ht="12.75">
      <c r="C24" s="59">
        <v>18</v>
      </c>
      <c r="D24" s="60">
        <f aca="true" t="shared" si="6" ref="D24:S39">PV(D$6,$C24,,-$B$7)</f>
        <v>0.9141361598819265</v>
      </c>
      <c r="E24" s="60">
        <f t="shared" si="6"/>
        <v>0.836017314191075</v>
      </c>
      <c r="F24" s="60">
        <f t="shared" si="6"/>
        <v>0.7649115866145864</v>
      </c>
      <c r="G24" s="60">
        <f t="shared" si="6"/>
        <v>0.7001593749656233</v>
      </c>
      <c r="H24" s="60">
        <f t="shared" si="6"/>
        <v>0.6411659093410585</v>
      </c>
      <c r="I24" s="60">
        <f t="shared" si="6"/>
        <v>0.5873946076162827</v>
      </c>
      <c r="J24" s="60">
        <f t="shared" si="6"/>
        <v>0.5383611395503163</v>
      </c>
      <c r="K24" s="60">
        <f t="shared" si="6"/>
        <v>0.4936281210113175</v>
      </c>
      <c r="L24" s="60">
        <f t="shared" si="6"/>
        <v>0.4528003688470583</v>
      </c>
      <c r="M24" s="60">
        <f t="shared" si="6"/>
        <v>0.41552065486748313</v>
      </c>
      <c r="N24" s="60">
        <f t="shared" si="6"/>
        <v>0.38146590440919764</v>
      </c>
      <c r="O24" s="60">
        <f t="shared" si="6"/>
        <v>0.35034379112920433</v>
      </c>
      <c r="P24" s="60">
        <f t="shared" si="6"/>
        <v>0.3218896851283974</v>
      </c>
      <c r="Q24" s="60">
        <f t="shared" si="6"/>
        <v>0.29586391632159825</v>
      </c>
      <c r="R24" s="60">
        <f t="shared" si="6"/>
        <v>0.27204931922753844</v>
      </c>
      <c r="S24" s="60">
        <f t="shared" si="6"/>
        <v>0.25024902911609154</v>
      </c>
      <c r="T24" s="60">
        <f t="shared" si="4"/>
        <v>0.23028450278045995</v>
      </c>
      <c r="U24" s="60">
        <f t="shared" si="4"/>
        <v>0.21199374015031147</v>
      </c>
      <c r="V24" s="60">
        <f t="shared" si="4"/>
        <v>0.1952296855735668</v>
      </c>
      <c r="W24" s="60">
        <f t="shared" si="4"/>
        <v>0.17985878990921364</v>
      </c>
      <c r="X24" s="60">
        <f t="shared" si="4"/>
        <v>0.16575971662625003</v>
      </c>
      <c r="Y24" s="60">
        <f t="shared" si="4"/>
        <v>0.15282217692514913</v>
      </c>
      <c r="Z24" s="60">
        <f t="shared" si="4"/>
        <v>0.14094588051518991</v>
      </c>
      <c r="AA24" s="60">
        <f t="shared" si="4"/>
        <v>0.13003959011721541</v>
      </c>
      <c r="AB24" s="61">
        <f t="shared" si="3"/>
        <v>18</v>
      </c>
    </row>
    <row r="25" spans="3:28" ht="12.75">
      <c r="C25" s="59">
        <v>19</v>
      </c>
      <c r="D25" s="60">
        <f t="shared" si="6"/>
        <v>0.9095882187879867</v>
      </c>
      <c r="E25" s="60">
        <f t="shared" si="6"/>
        <v>0.8277399150406685</v>
      </c>
      <c r="F25" s="60">
        <f t="shared" si="6"/>
        <v>0.7536074744971295</v>
      </c>
      <c r="G25" s="60">
        <f t="shared" si="6"/>
        <v>0.686430759770219</v>
      </c>
      <c r="H25" s="60">
        <f t="shared" si="6"/>
        <v>0.625527716430301</v>
      </c>
      <c r="I25" s="60">
        <f t="shared" si="6"/>
        <v>0.570286026811925</v>
      </c>
      <c r="J25" s="60">
        <f t="shared" si="6"/>
        <v>0.5201556903867791</v>
      </c>
      <c r="K25" s="60">
        <f t="shared" si="6"/>
        <v>0.47464242404934376</v>
      </c>
      <c r="L25" s="60">
        <f t="shared" si="6"/>
        <v>0.43330178837039074</v>
      </c>
      <c r="M25" s="60">
        <f t="shared" si="6"/>
        <v>0.3957339570166506</v>
      </c>
      <c r="N25" s="60">
        <f t="shared" si="6"/>
        <v>0.36157905631203574</v>
      </c>
      <c r="O25" s="60">
        <f t="shared" si="6"/>
        <v>0.3305130104992493</v>
      </c>
      <c r="P25" s="60">
        <f t="shared" si="6"/>
        <v>0.30224383580131214</v>
      </c>
      <c r="Q25" s="60">
        <f t="shared" si="6"/>
        <v>0.2765083330108395</v>
      </c>
      <c r="R25" s="60">
        <f t="shared" si="6"/>
        <v>0.253069134165152</v>
      </c>
      <c r="S25" s="60">
        <f t="shared" si="6"/>
        <v>0.23171206399638106</v>
      </c>
      <c r="T25" s="60">
        <f t="shared" si="4"/>
        <v>0.21224378136447922</v>
      </c>
      <c r="U25" s="60">
        <f t="shared" si="4"/>
        <v>0.19448966986267105</v>
      </c>
      <c r="V25" s="60">
        <f t="shared" si="4"/>
        <v>0.1782919502954948</v>
      </c>
      <c r="W25" s="60">
        <f t="shared" si="4"/>
        <v>0.16350799082655781</v>
      </c>
      <c r="X25" s="60">
        <f t="shared" si="4"/>
        <v>0.1500087933269231</v>
      </c>
      <c r="Y25" s="60">
        <f t="shared" si="4"/>
        <v>0.1376776368695037</v>
      </c>
      <c r="Z25" s="60">
        <f t="shared" si="4"/>
        <v>0.12640886144860083</v>
      </c>
      <c r="AA25" s="60">
        <f t="shared" si="4"/>
        <v>0.1161067768903709</v>
      </c>
      <c r="AB25" s="61">
        <f t="shared" si="3"/>
        <v>19</v>
      </c>
    </row>
    <row r="26" spans="3:28" ht="13.5" thickBot="1">
      <c r="C26" s="62">
        <v>20</v>
      </c>
      <c r="D26" s="63">
        <f t="shared" si="6"/>
        <v>0.9050629042666535</v>
      </c>
      <c r="E26" s="63">
        <f t="shared" si="6"/>
        <v>0.8195444703372954</v>
      </c>
      <c r="F26" s="63">
        <f t="shared" si="6"/>
        <v>0.7424704182237731</v>
      </c>
      <c r="G26" s="63">
        <f t="shared" si="6"/>
        <v>0.6729713331080578</v>
      </c>
      <c r="H26" s="63">
        <f t="shared" si="6"/>
        <v>0.6102709428588303</v>
      </c>
      <c r="I26" s="63">
        <f t="shared" si="6"/>
        <v>0.553675754186335</v>
      </c>
      <c r="J26" s="63">
        <f t="shared" si="6"/>
        <v>0.5025658844316706</v>
      </c>
      <c r="K26" s="63">
        <f t="shared" si="6"/>
        <v>0.45638694620129205</v>
      </c>
      <c r="L26" s="63">
        <f t="shared" si="6"/>
        <v>0.41464285968458453</v>
      </c>
      <c r="M26" s="63">
        <f t="shared" si="6"/>
        <v>0.3768894828730006</v>
      </c>
      <c r="N26" s="63">
        <f t="shared" si="6"/>
        <v>0.3427289633289438</v>
      </c>
      <c r="O26" s="63">
        <f t="shared" si="6"/>
        <v>0.3118047268860843</v>
      </c>
      <c r="P26" s="63">
        <f t="shared" si="6"/>
        <v>0.2837970289214199</v>
      </c>
      <c r="Q26" s="63">
        <f t="shared" si="6"/>
        <v>0.2584190028138687</v>
      </c>
      <c r="R26" s="63">
        <f t="shared" si="6"/>
        <v>0.23541314806060654</v>
      </c>
      <c r="S26" s="63">
        <f t="shared" si="6"/>
        <v>0.21454820740405653</v>
      </c>
      <c r="T26" s="63">
        <f t="shared" si="4"/>
        <v>0.19561638835435877</v>
      </c>
      <c r="U26" s="63">
        <f t="shared" si="4"/>
        <v>0.17843088978226704</v>
      </c>
      <c r="V26" s="63">
        <f t="shared" si="4"/>
        <v>0.16282369889999526</v>
      </c>
      <c r="W26" s="63">
        <f t="shared" si="4"/>
        <v>0.1486436280241435</v>
      </c>
      <c r="X26" s="63">
        <f t="shared" si="4"/>
        <v>0.13575456409676298</v>
      </c>
      <c r="Y26" s="63">
        <f t="shared" si="4"/>
        <v>0.12403390708964297</v>
      </c>
      <c r="Z26" s="63">
        <f t="shared" si="4"/>
        <v>0.11337117618708593</v>
      </c>
      <c r="AA26" s="63">
        <f t="shared" si="4"/>
        <v>0.1036667650806883</v>
      </c>
      <c r="AB26" s="64">
        <f t="shared" si="3"/>
        <v>20</v>
      </c>
    </row>
    <row r="27" spans="3:28" ht="13.5" thickTop="1">
      <c r="C27" s="59">
        <v>21</v>
      </c>
      <c r="D27" s="60">
        <f t="shared" si="6"/>
        <v>0.9005601037479142</v>
      </c>
      <c r="E27" s="60">
        <f t="shared" si="6"/>
        <v>0.8114301686507877</v>
      </c>
      <c r="F27" s="60">
        <f t="shared" si="6"/>
        <v>0.7314979489889392</v>
      </c>
      <c r="G27" s="60">
        <f t="shared" si="6"/>
        <v>0.6597758167726057</v>
      </c>
      <c r="H27" s="60">
        <f t="shared" si="6"/>
        <v>0.5953862857159321</v>
      </c>
      <c r="I27" s="60">
        <f t="shared" si="6"/>
        <v>0.5375492759090631</v>
      </c>
      <c r="J27" s="60">
        <f t="shared" si="6"/>
        <v>0.4855709028325321</v>
      </c>
      <c r="K27" s="60">
        <f t="shared" si="6"/>
        <v>0.43883360211662686</v>
      </c>
      <c r="L27" s="60">
        <f t="shared" si="6"/>
        <v>0.39678742553548757</v>
      </c>
      <c r="M27" s="60">
        <f t="shared" si="6"/>
        <v>0.35894236464095297</v>
      </c>
      <c r="N27" s="60">
        <f t="shared" si="6"/>
        <v>0.3248615766151126</v>
      </c>
      <c r="O27" s="60">
        <f t="shared" si="6"/>
        <v>0.29415540272272095</v>
      </c>
      <c r="P27" s="60">
        <f t="shared" si="6"/>
        <v>0.26647608349429097</v>
      </c>
      <c r="Q27" s="60">
        <f t="shared" si="6"/>
        <v>0.24151308674193336</v>
      </c>
      <c r="R27" s="60">
        <f t="shared" si="6"/>
        <v>0.21898897494009908</v>
      </c>
      <c r="S27" s="60">
        <f t="shared" si="6"/>
        <v>0.19865574759634863</v>
      </c>
      <c r="T27" s="60">
        <f t="shared" si="4"/>
        <v>0.1802916021699159</v>
      </c>
      <c r="U27" s="60">
        <f t="shared" si="4"/>
        <v>0.16369806402042844</v>
      </c>
      <c r="V27" s="60">
        <f t="shared" si="4"/>
        <v>0.14869744191780387</v>
      </c>
      <c r="W27" s="60">
        <f t="shared" si="4"/>
        <v>0.13513057093103953</v>
      </c>
      <c r="X27" s="60">
        <f t="shared" si="4"/>
        <v>0.12285480913734205</v>
      </c>
      <c r="Y27" s="60">
        <f t="shared" si="4"/>
        <v>0.11174225863931797</v>
      </c>
      <c r="Z27" s="60">
        <f t="shared" si="4"/>
        <v>0.1016781849211533</v>
      </c>
      <c r="AA27" s="60">
        <f t="shared" si="4"/>
        <v>0.09255961167918597</v>
      </c>
      <c r="AB27" s="61">
        <f t="shared" si="3"/>
        <v>21</v>
      </c>
    </row>
    <row r="28" spans="3:28" ht="12.75">
      <c r="C28" s="59">
        <v>22</v>
      </c>
      <c r="D28" s="60">
        <f t="shared" si="6"/>
        <v>0.8960797052218052</v>
      </c>
      <c r="E28" s="60">
        <f t="shared" si="6"/>
        <v>0.803396206584938</v>
      </c>
      <c r="F28" s="60">
        <f t="shared" si="6"/>
        <v>0.7206876344718613</v>
      </c>
      <c r="G28" s="60">
        <f t="shared" si="6"/>
        <v>0.6468390360515741</v>
      </c>
      <c r="H28" s="60">
        <f t="shared" si="6"/>
        <v>0.5808646689911533</v>
      </c>
      <c r="I28" s="60">
        <f t="shared" si="6"/>
        <v>0.5218925008825855</v>
      </c>
      <c r="J28" s="60">
        <f t="shared" si="6"/>
        <v>0.46915063075606966</v>
      </c>
      <c r="K28" s="60">
        <f t="shared" si="6"/>
        <v>0.4219553866506028</v>
      </c>
      <c r="L28" s="60">
        <f t="shared" si="6"/>
        <v>0.3797008856798925</v>
      </c>
      <c r="M28" s="60">
        <f t="shared" si="6"/>
        <v>0.3418498710866219</v>
      </c>
      <c r="N28" s="60">
        <f t="shared" si="6"/>
        <v>0.3079256650380215</v>
      </c>
      <c r="O28" s="60">
        <f t="shared" si="6"/>
        <v>0.2775050969082273</v>
      </c>
      <c r="P28" s="60">
        <f t="shared" si="6"/>
        <v>0.25021228497116527</v>
      </c>
      <c r="Q28" s="60">
        <f t="shared" si="6"/>
        <v>0.22571316517937698</v>
      </c>
      <c r="R28" s="60">
        <f t="shared" si="6"/>
        <v>0.20371067436288287</v>
      </c>
      <c r="S28" s="60">
        <f t="shared" si="6"/>
        <v>0.1839405070336561</v>
      </c>
      <c r="T28" s="60">
        <f t="shared" si="4"/>
        <v>0.1661673752718119</v>
      </c>
      <c r="U28" s="60">
        <f t="shared" si="4"/>
        <v>0.1501817101104848</v>
      </c>
      <c r="V28" s="60">
        <f t="shared" si="4"/>
        <v>0.13579675060986654</v>
      </c>
      <c r="W28" s="60">
        <f t="shared" si="4"/>
        <v>0.12284597357367227</v>
      </c>
      <c r="X28" s="60">
        <f t="shared" si="4"/>
        <v>0.11118082274872583</v>
      </c>
      <c r="Y28" s="60">
        <f t="shared" si="4"/>
        <v>0.10066870147686303</v>
      </c>
      <c r="Z28" s="60">
        <f t="shared" si="4"/>
        <v>0.09119119723870252</v>
      </c>
      <c r="AA28" s="60">
        <f t="shared" si="4"/>
        <v>0.08264251042784461</v>
      </c>
      <c r="AB28" s="61">
        <f t="shared" si="3"/>
        <v>22</v>
      </c>
    </row>
    <row r="29" spans="3:28" ht="12.75">
      <c r="C29" s="59">
        <v>23</v>
      </c>
      <c r="D29" s="60">
        <f t="shared" si="6"/>
        <v>0.8916215972356273</v>
      </c>
      <c r="E29" s="60">
        <f t="shared" si="6"/>
        <v>0.7954417886979586</v>
      </c>
      <c r="F29" s="60">
        <f t="shared" si="6"/>
        <v>0.7100370782974004</v>
      </c>
      <c r="G29" s="60">
        <f t="shared" si="6"/>
        <v>0.6341559176976218</v>
      </c>
      <c r="H29" s="60">
        <f t="shared" si="6"/>
        <v>0.5666972380401496</v>
      </c>
      <c r="I29" s="60">
        <f t="shared" si="6"/>
        <v>0.5066917484296947</v>
      </c>
      <c r="J29" s="60">
        <f t="shared" si="6"/>
        <v>0.45328563358074364</v>
      </c>
      <c r="K29" s="60">
        <f t="shared" si="6"/>
        <v>0.4057263333178873</v>
      </c>
      <c r="L29" s="60">
        <f t="shared" si="6"/>
        <v>0.3633501298372177</v>
      </c>
      <c r="M29" s="60">
        <f t="shared" si="6"/>
        <v>0.3255713057967827</v>
      </c>
      <c r="N29" s="60">
        <f t="shared" si="6"/>
        <v>0.2918726682824848</v>
      </c>
      <c r="O29" s="60">
        <f t="shared" si="6"/>
        <v>0.2617972612341767</v>
      </c>
      <c r="P29" s="60">
        <f t="shared" si="6"/>
        <v>0.23494111264898151</v>
      </c>
      <c r="Q29" s="60">
        <f t="shared" si="6"/>
        <v>0.2109468833452121</v>
      </c>
      <c r="R29" s="60">
        <f t="shared" si="6"/>
        <v>0.1894983017329143</v>
      </c>
      <c r="S29" s="60">
        <f t="shared" si="6"/>
        <v>0.17031528429042234</v>
      </c>
      <c r="T29" s="60">
        <f t="shared" si="4"/>
        <v>0.15314965462839805</v>
      </c>
      <c r="U29" s="60">
        <f t="shared" si="4"/>
        <v>0.13778138542246313</v>
      </c>
      <c r="V29" s="60">
        <f t="shared" si="4"/>
        <v>0.12401529736060873</v>
      </c>
      <c r="W29" s="60">
        <f t="shared" si="4"/>
        <v>0.11167815779424752</v>
      </c>
      <c r="X29" s="60">
        <f t="shared" si="4"/>
        <v>0.10061612918436728</v>
      </c>
      <c r="Y29" s="60">
        <f t="shared" si="4"/>
        <v>0.09069252385302977</v>
      </c>
      <c r="Z29" s="60">
        <f t="shared" si="4"/>
        <v>0.08178582711991257</v>
      </c>
      <c r="AA29" s="60">
        <f t="shared" si="4"/>
        <v>0.07378795573914698</v>
      </c>
      <c r="AB29" s="61">
        <f t="shared" si="3"/>
        <v>23</v>
      </c>
    </row>
    <row r="30" spans="3:28" ht="12.75">
      <c r="C30" s="59">
        <v>24</v>
      </c>
      <c r="D30" s="60">
        <f t="shared" si="6"/>
        <v>0.8871856688911713</v>
      </c>
      <c r="E30" s="60">
        <f t="shared" si="6"/>
        <v>0.7875661274237212</v>
      </c>
      <c r="F30" s="60">
        <f t="shared" si="6"/>
        <v>0.6995439195048281</v>
      </c>
      <c r="G30" s="60">
        <f t="shared" si="6"/>
        <v>0.6217214879388449</v>
      </c>
      <c r="H30" s="60">
        <f t="shared" si="6"/>
        <v>0.5528753541855118</v>
      </c>
      <c r="I30" s="60">
        <f t="shared" si="6"/>
        <v>0.49193373633950943</v>
      </c>
      <c r="J30" s="60">
        <f t="shared" si="6"/>
        <v>0.4379571338944384</v>
      </c>
      <c r="K30" s="60">
        <f t="shared" si="6"/>
        <v>0.3901214743441224</v>
      </c>
      <c r="L30" s="60">
        <f t="shared" si="6"/>
        <v>0.34770347352843806</v>
      </c>
      <c r="M30" s="60">
        <f t="shared" si="6"/>
        <v>0.31006791028265024</v>
      </c>
      <c r="N30" s="60">
        <f t="shared" si="6"/>
        <v>0.2766565576137297</v>
      </c>
      <c r="O30" s="60">
        <f t="shared" si="6"/>
        <v>0.24697854833412897</v>
      </c>
      <c r="P30" s="60">
        <f t="shared" si="6"/>
        <v>0.22060198370796386</v>
      </c>
      <c r="Q30" s="60">
        <f t="shared" si="6"/>
        <v>0.19714661994879637</v>
      </c>
      <c r="R30" s="60">
        <f t="shared" si="6"/>
        <v>0.17627748998410636</v>
      </c>
      <c r="S30" s="60">
        <f t="shared" si="6"/>
        <v>0.1576993373059466</v>
      </c>
      <c r="T30" s="60">
        <f t="shared" si="4"/>
        <v>0.14115175541787842</v>
      </c>
      <c r="U30" s="60">
        <f t="shared" si="4"/>
        <v>0.12640494075455333</v>
      </c>
      <c r="V30" s="60">
        <f t="shared" si="4"/>
        <v>0.11325597932475681</v>
      </c>
      <c r="W30" s="60">
        <f t="shared" si="4"/>
        <v>0.10152559799477048</v>
      </c>
      <c r="X30" s="60">
        <f t="shared" si="4"/>
        <v>0.09105532052883916</v>
      </c>
      <c r="Y30" s="60">
        <f t="shared" si="4"/>
        <v>0.08170497644417093</v>
      </c>
      <c r="Z30" s="60">
        <f t="shared" si="4"/>
        <v>0.07335051759633414</v>
      </c>
      <c r="AA30" s="60">
        <f t="shared" si="4"/>
        <v>0.06588210333852408</v>
      </c>
      <c r="AB30" s="61">
        <f t="shared" si="3"/>
        <v>24</v>
      </c>
    </row>
    <row r="31" spans="3:28" ht="13.5" thickBot="1">
      <c r="C31" s="62">
        <v>25</v>
      </c>
      <c r="D31" s="63">
        <f t="shared" si="6"/>
        <v>0.8827718098419618</v>
      </c>
      <c r="E31" s="63">
        <f t="shared" si="6"/>
        <v>0.7797684429937832</v>
      </c>
      <c r="F31" s="63">
        <f t="shared" si="6"/>
        <v>0.6892058320244612</v>
      </c>
      <c r="G31" s="63">
        <f t="shared" si="6"/>
        <v>0.6095308705282794</v>
      </c>
      <c r="H31" s="63">
        <f t="shared" si="6"/>
        <v>0.5393905894492799</v>
      </c>
      <c r="I31" s="63">
        <f t="shared" si="6"/>
        <v>0.47760556926165965</v>
      </c>
      <c r="J31" s="63">
        <f t="shared" si="6"/>
        <v>0.42314698926998884</v>
      </c>
      <c r="K31" s="63">
        <f t="shared" si="6"/>
        <v>0.37511680225396377</v>
      </c>
      <c r="L31" s="63">
        <f t="shared" si="6"/>
        <v>0.3327305966779312</v>
      </c>
      <c r="M31" s="63">
        <f t="shared" si="6"/>
        <v>0.2953027716977621</v>
      </c>
      <c r="N31" s="63">
        <f t="shared" si="6"/>
        <v>0.26223370389926987</v>
      </c>
      <c r="O31" s="63">
        <f t="shared" si="6"/>
        <v>0.23299863050389524</v>
      </c>
      <c r="P31" s="63">
        <f t="shared" si="6"/>
        <v>0.20713801287132758</v>
      </c>
      <c r="Q31" s="63">
        <f t="shared" si="6"/>
        <v>0.18424917752223957</v>
      </c>
      <c r="R31" s="63">
        <f t="shared" si="6"/>
        <v>0.16397906045033148</v>
      </c>
      <c r="S31" s="63">
        <f t="shared" si="6"/>
        <v>0.1460179049129135</v>
      </c>
      <c r="T31" s="63">
        <f t="shared" si="4"/>
        <v>0.13009378379527964</v>
      </c>
      <c r="U31" s="63">
        <f t="shared" si="4"/>
        <v>0.11596783555463605</v>
      </c>
      <c r="V31" s="63">
        <f t="shared" si="4"/>
        <v>0.10343011810480077</v>
      </c>
      <c r="W31" s="63">
        <f t="shared" si="4"/>
        <v>0.09229599817706405</v>
      </c>
      <c r="X31" s="63">
        <f t="shared" si="4"/>
        <v>0.08240300500347436</v>
      </c>
      <c r="Y31" s="63">
        <f t="shared" si="4"/>
        <v>0.07360808688664047</v>
      </c>
      <c r="Z31" s="63">
        <f t="shared" si="4"/>
        <v>0.06578521757518757</v>
      </c>
      <c r="AA31" s="63">
        <f t="shared" si="4"/>
        <v>0.05882330655225364</v>
      </c>
      <c r="AB31" s="64">
        <f t="shared" si="3"/>
        <v>25</v>
      </c>
    </row>
    <row r="32" spans="3:28" ht="13.5" thickTop="1">
      <c r="C32" s="59">
        <v>26</v>
      </c>
      <c r="D32" s="60">
        <f t="shared" si="6"/>
        <v>0.8783799102905093</v>
      </c>
      <c r="E32" s="60">
        <f t="shared" si="6"/>
        <v>0.7720479633601814</v>
      </c>
      <c r="F32" s="60">
        <f t="shared" si="6"/>
        <v>0.6790205241620308</v>
      </c>
      <c r="G32" s="60">
        <f t="shared" si="6"/>
        <v>0.5975792848316464</v>
      </c>
      <c r="H32" s="60">
        <f t="shared" si="6"/>
        <v>0.5262347214139317</v>
      </c>
      <c r="I32" s="60">
        <f t="shared" si="6"/>
        <v>0.4636947274385045</v>
      </c>
      <c r="J32" s="60">
        <f t="shared" si="6"/>
        <v>0.40883767079225974</v>
      </c>
      <c r="K32" s="60">
        <f t="shared" si="6"/>
        <v>0.3606892329365037</v>
      </c>
      <c r="L32" s="60">
        <f t="shared" si="6"/>
        <v>0.31840248485926437</v>
      </c>
      <c r="M32" s="60">
        <f t="shared" si="6"/>
        <v>0.2812407349502496</v>
      </c>
      <c r="N32" s="60">
        <f t="shared" si="6"/>
        <v>0.24856275251115625</v>
      </c>
      <c r="O32" s="60">
        <f t="shared" si="6"/>
        <v>0.21981002877725966</v>
      </c>
      <c r="P32" s="60">
        <f t="shared" si="6"/>
        <v>0.19449578673364096</v>
      </c>
      <c r="Q32" s="60">
        <f t="shared" si="6"/>
        <v>0.17219549301143888</v>
      </c>
      <c r="R32" s="60">
        <f t="shared" si="6"/>
        <v>0.15253866088402931</v>
      </c>
      <c r="S32" s="60">
        <f t="shared" si="6"/>
        <v>0.13520176380825324</v>
      </c>
      <c r="T32" s="60">
        <f t="shared" si="4"/>
        <v>0.11990210488044206</v>
      </c>
      <c r="U32" s="60">
        <f t="shared" si="4"/>
        <v>0.10639250968315234</v>
      </c>
      <c r="V32" s="60">
        <f t="shared" si="4"/>
        <v>0.09445672886283173</v>
      </c>
      <c r="W32" s="60">
        <f t="shared" si="4"/>
        <v>0.08390545288824004</v>
      </c>
      <c r="X32" s="60">
        <f t="shared" si="4"/>
        <v>0.07457285520676413</v>
      </c>
      <c r="Y32" s="60">
        <f t="shared" si="4"/>
        <v>0.06631359178976619</v>
      </c>
      <c r="Z32" s="60">
        <f t="shared" si="4"/>
        <v>0.05900019513469737</v>
      </c>
      <c r="AA32" s="60">
        <f t="shared" si="4"/>
        <v>0.05252080942165503</v>
      </c>
      <c r="AB32" s="61">
        <f t="shared" si="3"/>
        <v>26</v>
      </c>
    </row>
    <row r="33" spans="3:28" ht="12.75">
      <c r="C33" s="59">
        <v>27</v>
      </c>
      <c r="D33" s="60">
        <f t="shared" si="6"/>
        <v>0.8740098609855815</v>
      </c>
      <c r="E33" s="60">
        <f t="shared" si="6"/>
        <v>0.7644039241189918</v>
      </c>
      <c r="F33" s="60">
        <f t="shared" si="6"/>
        <v>0.6689857380906709</v>
      </c>
      <c r="G33" s="60">
        <f t="shared" si="6"/>
        <v>0.5858620439525946</v>
      </c>
      <c r="H33" s="60">
        <f t="shared" si="6"/>
        <v>0.5133997282087138</v>
      </c>
      <c r="I33" s="60">
        <f t="shared" si="6"/>
        <v>0.45018905576553836</v>
      </c>
      <c r="J33" s="60">
        <f t="shared" si="6"/>
        <v>0.39501224231136206</v>
      </c>
      <c r="K33" s="60">
        <f t="shared" si="6"/>
        <v>0.3468165701312535</v>
      </c>
      <c r="L33" s="60">
        <f t="shared" si="6"/>
        <v>0.3046913730710664</v>
      </c>
      <c r="M33" s="60">
        <f t="shared" si="6"/>
        <v>0.2678483190002377</v>
      </c>
      <c r="N33" s="60">
        <f t="shared" si="6"/>
        <v>0.23560450474991115</v>
      </c>
      <c r="O33" s="60">
        <f t="shared" si="6"/>
        <v>0.20736795167666003</v>
      </c>
      <c r="P33" s="60">
        <f t="shared" si="6"/>
        <v>0.1826251518625737</v>
      </c>
      <c r="Q33" s="60">
        <f t="shared" si="6"/>
        <v>0.16093036730041013</v>
      </c>
      <c r="R33" s="60">
        <f t="shared" si="6"/>
        <v>0.1418964287293296</v>
      </c>
      <c r="S33" s="60">
        <f t="shared" si="6"/>
        <v>0.12518681834097523</v>
      </c>
      <c r="T33" s="60">
        <f t="shared" si="4"/>
        <v>0.11050885242437056</v>
      </c>
      <c r="U33" s="60">
        <f t="shared" si="4"/>
        <v>0.09760780704876361</v>
      </c>
      <c r="V33" s="60">
        <f t="shared" si="4"/>
        <v>0.0862618528427687</v>
      </c>
      <c r="W33" s="60">
        <f t="shared" si="4"/>
        <v>0.07627768444385458</v>
      </c>
      <c r="X33" s="60">
        <f t="shared" si="4"/>
        <v>0.06748674679345171</v>
      </c>
      <c r="Y33" s="60">
        <f t="shared" si="4"/>
        <v>0.059741974585374946</v>
      </c>
      <c r="Z33" s="60">
        <f t="shared" si="4"/>
        <v>0.052914973214975215</v>
      </c>
      <c r="AA33" s="60">
        <f t="shared" si="4"/>
        <v>0.046893579840763415</v>
      </c>
      <c r="AB33" s="61">
        <f t="shared" si="3"/>
        <v>27</v>
      </c>
    </row>
    <row r="34" spans="3:28" ht="12.75">
      <c r="C34" s="59">
        <v>28</v>
      </c>
      <c r="D34" s="60">
        <f t="shared" si="6"/>
        <v>0.8696615532194844</v>
      </c>
      <c r="E34" s="60">
        <f t="shared" si="6"/>
        <v>0.7568355684346453</v>
      </c>
      <c r="F34" s="60">
        <f t="shared" si="6"/>
        <v>0.6590992493504149</v>
      </c>
      <c r="G34" s="60">
        <f t="shared" si="6"/>
        <v>0.5743745528947004</v>
      </c>
      <c r="H34" s="60">
        <f t="shared" si="6"/>
        <v>0.5008777836182574</v>
      </c>
      <c r="I34" s="60">
        <f t="shared" si="6"/>
        <v>0.4370767531704256</v>
      </c>
      <c r="J34" s="60">
        <f t="shared" si="6"/>
        <v>0.3816543403974513</v>
      </c>
      <c r="K34" s="60">
        <f t="shared" si="6"/>
        <v>0.3334774712800514</v>
      </c>
      <c r="L34" s="60">
        <f t="shared" si="6"/>
        <v>0.2915706919340349</v>
      </c>
      <c r="M34" s="60">
        <f t="shared" si="6"/>
        <v>0.2550936371430836</v>
      </c>
      <c r="N34" s="60">
        <f t="shared" si="6"/>
        <v>0.22332180545015276</v>
      </c>
      <c r="O34" s="60">
        <f t="shared" si="6"/>
        <v>0.1956301430911887</v>
      </c>
      <c r="P34" s="60">
        <f t="shared" si="6"/>
        <v>0.17147901583340255</v>
      </c>
      <c r="Q34" s="60">
        <f t="shared" si="6"/>
        <v>0.15040221243028987</v>
      </c>
      <c r="R34" s="60">
        <f t="shared" si="6"/>
        <v>0.13199667788774846</v>
      </c>
      <c r="S34" s="60">
        <f t="shared" si="6"/>
        <v>0.11591372068608817</v>
      </c>
      <c r="T34" s="60">
        <f t="shared" si="4"/>
        <v>0.1018514768888208</v>
      </c>
      <c r="U34" s="60">
        <f t="shared" si="4"/>
        <v>0.08954844683372809</v>
      </c>
      <c r="V34" s="60">
        <f t="shared" si="4"/>
        <v>0.07877794780161526</v>
      </c>
      <c r="W34" s="60">
        <f t="shared" si="4"/>
        <v>0.06934334949441325</v>
      </c>
      <c r="X34" s="60">
        <f t="shared" si="4"/>
        <v>0.06107397899859882</v>
      </c>
      <c r="Y34" s="60">
        <f t="shared" si="4"/>
        <v>0.053821598725563004</v>
      </c>
      <c r="Z34" s="60">
        <f t="shared" si="4"/>
        <v>0.04745737508069525</v>
      </c>
      <c r="AA34" s="60">
        <f t="shared" si="4"/>
        <v>0.04186926771496734</v>
      </c>
      <c r="AB34" s="61">
        <f t="shared" si="3"/>
        <v>28</v>
      </c>
    </row>
    <row r="35" spans="3:28" ht="12.75">
      <c r="C35" s="59">
        <v>29</v>
      </c>
      <c r="D35" s="60">
        <f t="shared" si="6"/>
        <v>0.8653348788253576</v>
      </c>
      <c r="E35" s="60">
        <f t="shared" si="6"/>
        <v>0.7493421469649953</v>
      </c>
      <c r="F35" s="60">
        <f t="shared" si="6"/>
        <v>0.6493588663550884</v>
      </c>
      <c r="G35" s="60">
        <f t="shared" si="6"/>
        <v>0.5631123067595103</v>
      </c>
      <c r="H35" s="60">
        <f t="shared" si="6"/>
        <v>0.48866125231049495</v>
      </c>
      <c r="I35" s="60">
        <f t="shared" si="6"/>
        <v>0.4243463623013841</v>
      </c>
      <c r="J35" s="60">
        <f t="shared" si="6"/>
        <v>0.368748154973383</v>
      </c>
      <c r="K35" s="60">
        <f t="shared" si="6"/>
        <v>0.3206514146923571</v>
      </c>
      <c r="L35" s="60">
        <f t="shared" si="6"/>
        <v>0.27901501620481806</v>
      </c>
      <c r="M35" s="60">
        <f t="shared" si="6"/>
        <v>0.24294632108865097</v>
      </c>
      <c r="N35" s="60">
        <f t="shared" si="6"/>
        <v>0.21167943644564247</v>
      </c>
      <c r="O35" s="60">
        <f t="shared" si="6"/>
        <v>0.18455673876527234</v>
      </c>
      <c r="P35" s="60">
        <f t="shared" si="6"/>
        <v>0.16101316040695074</v>
      </c>
      <c r="Q35" s="60">
        <f t="shared" si="6"/>
        <v>0.1405628153554111</v>
      </c>
      <c r="R35" s="60">
        <f t="shared" si="6"/>
        <v>0.1227876073374404</v>
      </c>
      <c r="S35" s="60">
        <f t="shared" si="6"/>
        <v>0.10732751915378534</v>
      </c>
      <c r="T35" s="60">
        <f t="shared" si="4"/>
        <v>0.09387232892978876</v>
      </c>
      <c r="U35" s="60">
        <f t="shared" si="4"/>
        <v>0.08215453837956704</v>
      </c>
      <c r="V35" s="60">
        <f t="shared" si="4"/>
        <v>0.07194333132567604</v>
      </c>
      <c r="W35" s="60">
        <f t="shared" si="4"/>
        <v>0.06303940863128477</v>
      </c>
      <c r="X35" s="60">
        <f t="shared" si="4"/>
        <v>0.05527056922950119</v>
      </c>
      <c r="Y35" s="60">
        <f t="shared" si="4"/>
        <v>0.04848792677978649</v>
      </c>
      <c r="Z35" s="60">
        <f t="shared" si="4"/>
        <v>0.04256266823380741</v>
      </c>
      <c r="AA35" s="60">
        <f t="shared" si="4"/>
        <v>0.037383274745506546</v>
      </c>
      <c r="AB35" s="61">
        <f t="shared" si="3"/>
        <v>29</v>
      </c>
    </row>
    <row r="36" spans="3:28" ht="13.5" thickBot="1">
      <c r="C36" s="62">
        <v>30</v>
      </c>
      <c r="D36" s="63">
        <f t="shared" si="6"/>
        <v>0.8610297301744854</v>
      </c>
      <c r="E36" s="63">
        <f t="shared" si="6"/>
        <v>0.7419229177871239</v>
      </c>
      <c r="F36" s="63">
        <f t="shared" si="6"/>
        <v>0.6397624299064913</v>
      </c>
      <c r="G36" s="63">
        <f t="shared" si="6"/>
        <v>0.552070888979912</v>
      </c>
      <c r="H36" s="63">
        <f t="shared" si="6"/>
        <v>0.47674268518097085</v>
      </c>
      <c r="I36" s="63">
        <f t="shared" si="6"/>
        <v>0.4119867595159069</v>
      </c>
      <c r="J36" s="63">
        <f t="shared" si="6"/>
        <v>0.35627841060230236</v>
      </c>
      <c r="K36" s="63">
        <f t="shared" si="6"/>
        <v>0.30831866797342034</v>
      </c>
      <c r="L36" s="63">
        <f t="shared" si="6"/>
        <v>0.26700001550700303</v>
      </c>
      <c r="M36" s="63">
        <f t="shared" si="6"/>
        <v>0.23137744865585813</v>
      </c>
      <c r="N36" s="63">
        <f t="shared" si="6"/>
        <v>0.2006440155882867</v>
      </c>
      <c r="O36" s="63">
        <f t="shared" si="6"/>
        <v>0.17411013091063426</v>
      </c>
      <c r="P36" s="63">
        <f t="shared" si="6"/>
        <v>0.1511860661098129</v>
      </c>
      <c r="Q36" s="63">
        <f t="shared" si="6"/>
        <v>0.13136711715458982</v>
      </c>
      <c r="R36" s="63">
        <f t="shared" si="6"/>
        <v>0.11422103008133992</v>
      </c>
      <c r="S36" s="63">
        <f t="shared" si="6"/>
        <v>0.09937733254980123</v>
      </c>
      <c r="T36" s="63">
        <f t="shared" si="4"/>
        <v>0.08651827551132606</v>
      </c>
      <c r="U36" s="63">
        <f t="shared" si="4"/>
        <v>0.07537113612804315</v>
      </c>
      <c r="V36" s="63">
        <f t="shared" si="4"/>
        <v>0.06570167244353976</v>
      </c>
      <c r="W36" s="63">
        <f t="shared" si="4"/>
        <v>0.057308553301167964</v>
      </c>
      <c r="X36" s="63">
        <f t="shared" si="4"/>
        <v>0.050018614687331396</v>
      </c>
      <c r="Y36" s="63">
        <f t="shared" si="4"/>
        <v>0.04368281691872657</v>
      </c>
      <c r="Z36" s="63">
        <f t="shared" si="4"/>
        <v>0.038172796622248796</v>
      </c>
      <c r="AA36" s="63">
        <f t="shared" si="4"/>
        <v>0.03337792387991655</v>
      </c>
      <c r="AB36" s="64">
        <f t="shared" si="3"/>
        <v>30</v>
      </c>
    </row>
    <row r="37" spans="3:28" ht="13.5" thickTop="1">
      <c r="C37" s="59">
        <v>31</v>
      </c>
      <c r="D37" s="60">
        <f t="shared" si="6"/>
        <v>0.8567460001736175</v>
      </c>
      <c r="E37" s="60">
        <f t="shared" si="6"/>
        <v>0.7345771463238854</v>
      </c>
      <c r="F37" s="60">
        <f t="shared" si="6"/>
        <v>0.6303078127157551</v>
      </c>
      <c r="G37" s="60">
        <f t="shared" si="6"/>
        <v>0.5412459695881492</v>
      </c>
      <c r="H37" s="60">
        <f t="shared" si="6"/>
        <v>0.4651148148107031</v>
      </c>
      <c r="I37" s="60">
        <f t="shared" si="6"/>
        <v>0.3999871451610746</v>
      </c>
      <c r="J37" s="60">
        <f t="shared" si="6"/>
        <v>0.34423034840802164</v>
      </c>
      <c r="K37" s="60">
        <f t="shared" si="6"/>
        <v>0.29646025766675027</v>
      </c>
      <c r="L37" s="60">
        <f t="shared" si="6"/>
        <v>0.2555024071837349</v>
      </c>
      <c r="M37" s="60">
        <f t="shared" si="6"/>
        <v>0.220359474910341</v>
      </c>
      <c r="N37" s="60">
        <f t="shared" si="6"/>
        <v>0.1901839010315514</v>
      </c>
      <c r="O37" s="60">
        <f t="shared" si="6"/>
        <v>0.16425484048173042</v>
      </c>
      <c r="P37" s="60">
        <f t="shared" si="6"/>
        <v>0.1419587475209511</v>
      </c>
      <c r="Q37" s="60">
        <f t="shared" si="6"/>
        <v>0.1227730066865325</v>
      </c>
      <c r="R37" s="60">
        <f t="shared" si="6"/>
        <v>0.1062521210058976</v>
      </c>
      <c r="S37" s="60">
        <f t="shared" si="6"/>
        <v>0.09201604865722335</v>
      </c>
      <c r="T37" s="60">
        <f t="shared" si="4"/>
        <v>0.07974034609338806</v>
      </c>
      <c r="U37" s="60">
        <f t="shared" si="4"/>
        <v>0.06914783131013133</v>
      </c>
      <c r="V37" s="60">
        <f t="shared" si="4"/>
        <v>0.060001527345698406</v>
      </c>
      <c r="W37" s="60">
        <f t="shared" si="4"/>
        <v>0.0520986848192436</v>
      </c>
      <c r="X37" s="60">
        <f t="shared" si="4"/>
        <v>0.045265714649168676</v>
      </c>
      <c r="Y37" s="60">
        <f t="shared" si="4"/>
        <v>0.03935388911596988</v>
      </c>
      <c r="Z37" s="60">
        <f t="shared" si="4"/>
        <v>0.03423569203789129</v>
      </c>
      <c r="AA37" s="60">
        <f t="shared" si="4"/>
        <v>0.0298017177499255</v>
      </c>
      <c r="AB37" s="61">
        <f t="shared" si="3"/>
        <v>31</v>
      </c>
    </row>
    <row r="38" spans="3:28" ht="12.75">
      <c r="C38" s="59">
        <v>32</v>
      </c>
      <c r="D38" s="60">
        <f t="shared" si="6"/>
        <v>0.852483582262306</v>
      </c>
      <c r="E38" s="60">
        <f t="shared" si="6"/>
        <v>0.7273041052711734</v>
      </c>
      <c r="F38" s="60">
        <f t="shared" si="6"/>
        <v>0.6209929189317784</v>
      </c>
      <c r="G38" s="60">
        <f t="shared" si="6"/>
        <v>0.5306333035177931</v>
      </c>
      <c r="H38" s="60">
        <f t="shared" si="6"/>
        <v>0.4537705510348324</v>
      </c>
      <c r="I38" s="60">
        <f t="shared" si="6"/>
        <v>0.3883370341369657</v>
      </c>
      <c r="J38" s="60">
        <f t="shared" si="6"/>
        <v>0.3325897086067843</v>
      </c>
      <c r="K38" s="60">
        <f t="shared" si="6"/>
        <v>0.28505794006418295</v>
      </c>
      <c r="L38" s="60">
        <f t="shared" si="6"/>
        <v>0.24449991118060768</v>
      </c>
      <c r="M38" s="60">
        <f t="shared" si="6"/>
        <v>0.20986616658127716</v>
      </c>
      <c r="N38" s="60">
        <f t="shared" si="6"/>
        <v>0.18026910050384018</v>
      </c>
      <c r="O38" s="60">
        <f t="shared" si="6"/>
        <v>0.15495739668087777</v>
      </c>
      <c r="P38" s="60">
        <f t="shared" si="6"/>
        <v>0.13329459861122173</v>
      </c>
      <c r="Q38" s="60">
        <f t="shared" si="6"/>
        <v>0.11474112774442291</v>
      </c>
      <c r="R38" s="60">
        <f t="shared" si="6"/>
        <v>0.09883918233106755</v>
      </c>
      <c r="S38" s="60">
        <f t="shared" si="6"/>
        <v>0.08520004505298458</v>
      </c>
      <c r="T38" s="60">
        <f aca="true" t="shared" si="7" ref="T38:AA53">PV(T$6,$C38,,-$B$7)</f>
        <v>0.07349340653768485</v>
      </c>
      <c r="U38" s="60">
        <f t="shared" si="7"/>
        <v>0.06343837734874434</v>
      </c>
      <c r="V38" s="60">
        <f t="shared" si="7"/>
        <v>0.05479591538419946</v>
      </c>
      <c r="W38" s="60">
        <f t="shared" si="7"/>
        <v>0.04736244074476691</v>
      </c>
      <c r="X38" s="60">
        <f t="shared" si="7"/>
        <v>0.0409644476463065</v>
      </c>
      <c r="Y38" s="60">
        <f t="shared" si="7"/>
        <v>0.03545395415853142</v>
      </c>
      <c r="Z38" s="60">
        <f t="shared" si="7"/>
        <v>0.030704656536225373</v>
      </c>
      <c r="AA38" s="60">
        <f t="shared" si="7"/>
        <v>0.026608676562433473</v>
      </c>
      <c r="AB38" s="61">
        <f t="shared" si="3"/>
        <v>32</v>
      </c>
    </row>
    <row r="39" spans="3:28" ht="12.75">
      <c r="C39" s="59">
        <v>33</v>
      </c>
      <c r="D39" s="60">
        <f t="shared" si="6"/>
        <v>0.848242370410255</v>
      </c>
      <c r="E39" s="60">
        <f t="shared" si="6"/>
        <v>0.7201030745259143</v>
      </c>
      <c r="F39" s="60">
        <f t="shared" si="6"/>
        <v>0.6118156836766291</v>
      </c>
      <c r="G39" s="60">
        <f t="shared" si="6"/>
        <v>0.5202287289390128</v>
      </c>
      <c r="H39" s="60">
        <f t="shared" si="6"/>
        <v>0.4427029766193487</v>
      </c>
      <c r="I39" s="60">
        <f t="shared" si="6"/>
        <v>0.37702624673491814</v>
      </c>
      <c r="J39" s="60">
        <f t="shared" si="6"/>
        <v>0.32134271362974326</v>
      </c>
      <c r="K39" s="60">
        <f t="shared" si="6"/>
        <v>0.27409417313863743</v>
      </c>
      <c r="L39" s="60">
        <f t="shared" si="6"/>
        <v>0.23397120687139494</v>
      </c>
      <c r="M39" s="60">
        <f t="shared" si="6"/>
        <v>0.19987253960121634</v>
      </c>
      <c r="N39" s="60">
        <f t="shared" si="6"/>
        <v>0.17087118531169684</v>
      </c>
      <c r="O39" s="60">
        <f t="shared" si="6"/>
        <v>0.14618622328384695</v>
      </c>
      <c r="P39" s="60">
        <f t="shared" si="6"/>
        <v>0.12515924752227392</v>
      </c>
      <c r="Q39" s="60">
        <f t="shared" si="6"/>
        <v>0.10723469882656347</v>
      </c>
      <c r="R39" s="60">
        <f t="shared" si="6"/>
        <v>0.09194342542424888</v>
      </c>
      <c r="S39" s="60">
        <f aca="true" t="shared" si="8" ref="S39:S54">PV(S$6,$C39,,-$B$7)</f>
        <v>0.07888893060461535</v>
      </c>
      <c r="T39" s="60">
        <f t="shared" si="7"/>
        <v>0.06773585856007822</v>
      </c>
      <c r="U39" s="60">
        <f t="shared" si="7"/>
        <v>0.058200346191508566</v>
      </c>
      <c r="V39" s="60">
        <f t="shared" si="7"/>
        <v>0.050041931857716396</v>
      </c>
      <c r="W39" s="60">
        <f t="shared" si="7"/>
        <v>0.04305676431342446</v>
      </c>
      <c r="X39" s="60">
        <f t="shared" si="7"/>
        <v>0.03707189832244932</v>
      </c>
      <c r="Y39" s="60">
        <f t="shared" si="7"/>
        <v>0.031940499241920196</v>
      </c>
      <c r="Z39" s="60">
        <f t="shared" si="7"/>
        <v>0.027537808552668498</v>
      </c>
      <c r="AA39" s="60">
        <f t="shared" si="7"/>
        <v>0.02375774693074417</v>
      </c>
      <c r="AB39" s="61">
        <f t="shared" si="3"/>
        <v>33</v>
      </c>
    </row>
    <row r="40" spans="3:28" ht="12.75">
      <c r="C40" s="59">
        <v>34</v>
      </c>
      <c r="D40" s="60">
        <f aca="true" t="shared" si="9" ref="D40:S55">PV(D$6,$C40,,-$B$7)</f>
        <v>0.8440222591146816</v>
      </c>
      <c r="E40" s="60">
        <f t="shared" si="9"/>
        <v>0.7129733411147666</v>
      </c>
      <c r="F40" s="60">
        <f t="shared" si="9"/>
        <v>0.602774072587812</v>
      </c>
      <c r="G40" s="60">
        <f t="shared" si="9"/>
        <v>0.5100281656264832</v>
      </c>
      <c r="H40" s="60">
        <f t="shared" si="9"/>
        <v>0.43190534304326705</v>
      </c>
      <c r="I40" s="60">
        <f t="shared" si="9"/>
        <v>0.36604489974263904</v>
      </c>
      <c r="J40" s="60">
        <f t="shared" si="9"/>
        <v>0.3104760518161771</v>
      </c>
      <c r="K40" s="60">
        <f t="shared" si="9"/>
        <v>0.26355208955638215</v>
      </c>
      <c r="L40" s="60">
        <f t="shared" si="9"/>
        <v>0.22389589174296168</v>
      </c>
      <c r="M40" s="60">
        <f t="shared" si="9"/>
        <v>0.19035479962020604</v>
      </c>
      <c r="N40" s="60">
        <f t="shared" si="9"/>
        <v>0.16196320882625295</v>
      </c>
      <c r="O40" s="60">
        <f t="shared" si="9"/>
        <v>0.1379115313998556</v>
      </c>
      <c r="P40" s="60">
        <f t="shared" si="9"/>
        <v>0.11752042020870793</v>
      </c>
      <c r="Q40" s="60">
        <f t="shared" si="9"/>
        <v>0.10021934469772288</v>
      </c>
      <c r="R40" s="60">
        <f t="shared" si="9"/>
        <v>0.0855287678365106</v>
      </c>
      <c r="S40" s="60">
        <f t="shared" si="8"/>
        <v>0.07304530611538458</v>
      </c>
      <c r="T40" s="60">
        <f t="shared" si="7"/>
        <v>0.06242936272818268</v>
      </c>
      <c r="U40" s="60">
        <f t="shared" si="7"/>
        <v>0.053394813019732625</v>
      </c>
      <c r="V40" s="60">
        <f t="shared" si="7"/>
        <v>0.045700394390608585</v>
      </c>
      <c r="W40" s="60">
        <f t="shared" si="7"/>
        <v>0.039142513012204054</v>
      </c>
      <c r="X40" s="60">
        <f t="shared" si="7"/>
        <v>0.03354922925108536</v>
      </c>
      <c r="Y40" s="60">
        <f t="shared" si="7"/>
        <v>0.028775224542270446</v>
      </c>
      <c r="Z40" s="60">
        <f t="shared" si="7"/>
        <v>0.024697586145891025</v>
      </c>
      <c r="AA40" s="60">
        <f t="shared" si="7"/>
        <v>0.021212274045307292</v>
      </c>
      <c r="AB40" s="61">
        <f t="shared" si="3"/>
        <v>34</v>
      </c>
    </row>
    <row r="41" spans="3:28" ht="13.5" thickBot="1">
      <c r="C41" s="62">
        <v>35</v>
      </c>
      <c r="D41" s="63">
        <f t="shared" si="9"/>
        <v>0.8398231433976932</v>
      </c>
      <c r="E41" s="63">
        <f t="shared" si="9"/>
        <v>0.7059141991235314</v>
      </c>
      <c r="F41" s="63">
        <f t="shared" si="9"/>
        <v>0.5938660813673026</v>
      </c>
      <c r="G41" s="63">
        <f t="shared" si="9"/>
        <v>0.5000276133592974</v>
      </c>
      <c r="H41" s="63">
        <f t="shared" si="9"/>
        <v>0.4213710663836752</v>
      </c>
      <c r="I41" s="63">
        <f t="shared" si="9"/>
        <v>0.35538339780838735</v>
      </c>
      <c r="J41" s="63">
        <f t="shared" si="9"/>
        <v>0.29997686165814214</v>
      </c>
      <c r="K41" s="63">
        <f t="shared" si="9"/>
        <v>0.2534154707272905</v>
      </c>
      <c r="L41" s="63">
        <f t="shared" si="9"/>
        <v>0.2142544418592935</v>
      </c>
      <c r="M41" s="63">
        <f t="shared" si="9"/>
        <v>0.18129028535257716</v>
      </c>
      <c r="N41" s="63">
        <f t="shared" si="9"/>
        <v>0.15351962921919712</v>
      </c>
      <c r="O41" s="63">
        <f t="shared" si="9"/>
        <v>0.13010521830175056</v>
      </c>
      <c r="P41" s="63">
        <f t="shared" si="9"/>
        <v>0.11034781240254267</v>
      </c>
      <c r="Q41" s="63">
        <f t="shared" si="9"/>
        <v>0.09366293896983445</v>
      </c>
      <c r="R41" s="63">
        <f t="shared" si="9"/>
        <v>0.07956164449907963</v>
      </c>
      <c r="S41" s="63">
        <f t="shared" si="8"/>
        <v>0.06763454269943016</v>
      </c>
      <c r="T41" s="63">
        <f t="shared" si="7"/>
        <v>0.057538583159615374</v>
      </c>
      <c r="U41" s="63">
        <f t="shared" si="7"/>
        <v>0.04898606699058038</v>
      </c>
      <c r="V41" s="63">
        <f t="shared" si="7"/>
        <v>0.041735519991423366</v>
      </c>
      <c r="W41" s="63">
        <f t="shared" si="7"/>
        <v>0.03558410273836731</v>
      </c>
      <c r="X41" s="63">
        <f t="shared" si="7"/>
        <v>0.030361293439896256</v>
      </c>
      <c r="Y41" s="63">
        <f t="shared" si="7"/>
        <v>0.025923625713757153</v>
      </c>
      <c r="Z41" s="63">
        <f t="shared" si="7"/>
        <v>0.02215030147613545</v>
      </c>
      <c r="AA41" s="63">
        <f t="shared" si="7"/>
        <v>0.018939530397595796</v>
      </c>
      <c r="AB41" s="64">
        <f t="shared" si="3"/>
        <v>35</v>
      </c>
    </row>
    <row r="42" spans="3:28" ht="13.5" thickTop="1">
      <c r="C42" s="59">
        <v>36</v>
      </c>
      <c r="D42" s="60">
        <f t="shared" si="9"/>
        <v>0.8356449188036751</v>
      </c>
      <c r="E42" s="60">
        <f t="shared" si="9"/>
        <v>0.6989249496272587</v>
      </c>
      <c r="F42" s="60">
        <f t="shared" si="9"/>
        <v>0.585089735337244</v>
      </c>
      <c r="G42" s="60">
        <f t="shared" si="9"/>
        <v>0.49022315035225233</v>
      </c>
      <c r="H42" s="60">
        <f t="shared" si="9"/>
        <v>0.4110937233011465</v>
      </c>
      <c r="I42" s="60">
        <f t="shared" si="9"/>
        <v>0.34503242505668674</v>
      </c>
      <c r="J42" s="60">
        <f t="shared" si="9"/>
        <v>0.28983271657791515</v>
      </c>
      <c r="K42" s="60">
        <f t="shared" si="9"/>
        <v>0.24366872185316396</v>
      </c>
      <c r="L42" s="60">
        <f t="shared" si="9"/>
        <v>0.20502817402803208</v>
      </c>
      <c r="M42" s="60">
        <f t="shared" si="9"/>
        <v>0.17265741462150208</v>
      </c>
      <c r="N42" s="60">
        <f t="shared" si="9"/>
        <v>0.14551623622672713</v>
      </c>
      <c r="O42" s="60">
        <f t="shared" si="9"/>
        <v>0.12274077198278353</v>
      </c>
      <c r="P42" s="60">
        <f t="shared" si="9"/>
        <v>0.10361296939205883</v>
      </c>
      <c r="Q42" s="60">
        <f t="shared" si="9"/>
        <v>0.0875354569811537</v>
      </c>
      <c r="R42" s="60">
        <f t="shared" si="9"/>
        <v>0.07401083209216709</v>
      </c>
      <c r="S42" s="60">
        <f t="shared" si="8"/>
        <v>0.06262457657354643</v>
      </c>
      <c r="T42" s="60">
        <f t="shared" si="7"/>
        <v>0.053030952220843676</v>
      </c>
      <c r="U42" s="60">
        <f t="shared" si="7"/>
        <v>0.044941345862917786</v>
      </c>
      <c r="V42" s="60">
        <f t="shared" si="7"/>
        <v>0.038114630129153754</v>
      </c>
      <c r="W42" s="60">
        <f t="shared" si="7"/>
        <v>0.03234918430760665</v>
      </c>
      <c r="X42" s="60">
        <f t="shared" si="7"/>
        <v>0.027476283656014705</v>
      </c>
      <c r="Y42" s="60">
        <f t="shared" si="7"/>
        <v>0.023354617760141583</v>
      </c>
      <c r="Z42" s="60">
        <f t="shared" si="7"/>
        <v>0.0198657412342022</v>
      </c>
      <c r="AA42" s="60">
        <f t="shared" si="7"/>
        <v>0.01691029499785339</v>
      </c>
      <c r="AB42" s="61">
        <f t="shared" si="3"/>
        <v>36</v>
      </c>
    </row>
    <row r="43" spans="3:28" ht="12.75">
      <c r="C43" s="59">
        <v>37</v>
      </c>
      <c r="D43" s="60">
        <f t="shared" si="9"/>
        <v>0.8314874813966918</v>
      </c>
      <c r="E43" s="60">
        <f t="shared" si="9"/>
        <v>0.6920049006210482</v>
      </c>
      <c r="F43" s="60">
        <f t="shared" si="9"/>
        <v>0.5764430890022109</v>
      </c>
      <c r="G43" s="60">
        <f t="shared" si="9"/>
        <v>0.4806109317178944</v>
      </c>
      <c r="H43" s="60">
        <f t="shared" si="9"/>
        <v>0.40106704712306984</v>
      </c>
      <c r="I43" s="60">
        <f t="shared" si="9"/>
        <v>0.3349829369482396</v>
      </c>
      <c r="J43" s="60">
        <f t="shared" si="9"/>
        <v>0.2800316102202079</v>
      </c>
      <c r="K43" s="60">
        <f t="shared" si="9"/>
        <v>0.23429684793573452</v>
      </c>
      <c r="L43" s="60">
        <f t="shared" si="9"/>
        <v>0.19619920959620296</v>
      </c>
      <c r="M43" s="60">
        <f t="shared" si="9"/>
        <v>0.1644356329728591</v>
      </c>
      <c r="N43" s="60">
        <f t="shared" si="9"/>
        <v>0.1379300817314949</v>
      </c>
      <c r="O43" s="60">
        <f t="shared" si="9"/>
        <v>0.11579318111583352</v>
      </c>
      <c r="P43" s="60">
        <f t="shared" si="9"/>
        <v>0.09728917313808341</v>
      </c>
      <c r="Q43" s="60">
        <f t="shared" si="9"/>
        <v>0.08180883830014364</v>
      </c>
      <c r="R43" s="60">
        <f t="shared" si="9"/>
        <v>0.06884728566713218</v>
      </c>
      <c r="S43" s="60">
        <f t="shared" si="8"/>
        <v>0.05798571904958003</v>
      </c>
      <c r="T43" s="60">
        <f t="shared" si="7"/>
        <v>0.04887645365976376</v>
      </c>
      <c r="U43" s="60">
        <f t="shared" si="7"/>
        <v>0.04123059253478696</v>
      </c>
      <c r="V43" s="60">
        <f t="shared" si="7"/>
        <v>0.034807881396487446</v>
      </c>
      <c r="W43" s="60">
        <f t="shared" si="7"/>
        <v>0.0294083493705515</v>
      </c>
      <c r="X43" s="60">
        <f t="shared" si="7"/>
        <v>0.024865415073316476</v>
      </c>
      <c r="Y43" s="60">
        <f t="shared" si="7"/>
        <v>0.021040196180307728</v>
      </c>
      <c r="Z43" s="60">
        <f t="shared" si="7"/>
        <v>0.01781680828179569</v>
      </c>
      <c r="AA43" s="60">
        <f t="shared" si="7"/>
        <v>0.015098477676654811</v>
      </c>
      <c r="AB43" s="61">
        <f t="shared" si="3"/>
        <v>37</v>
      </c>
    </row>
    <row r="44" spans="3:28" ht="12.75">
      <c r="C44" s="59">
        <v>38</v>
      </c>
      <c r="D44" s="60">
        <f t="shared" si="9"/>
        <v>0.8273507277579023</v>
      </c>
      <c r="E44" s="60">
        <f t="shared" si="9"/>
        <v>0.6851533669515328</v>
      </c>
      <c r="F44" s="60">
        <f t="shared" si="9"/>
        <v>0.5679242256179419</v>
      </c>
      <c r="G44" s="60">
        <f t="shared" si="9"/>
        <v>0.4711871879587199</v>
      </c>
      <c r="H44" s="60">
        <f t="shared" si="9"/>
        <v>0.39128492402250725</v>
      </c>
      <c r="I44" s="60">
        <f t="shared" si="9"/>
        <v>0.3252261523769317</v>
      </c>
      <c r="J44" s="60">
        <f t="shared" si="9"/>
        <v>0.27056194224174673</v>
      </c>
      <c r="K44" s="60">
        <f t="shared" si="9"/>
        <v>0.22528543070743706</v>
      </c>
      <c r="L44" s="60">
        <f t="shared" si="9"/>
        <v>0.18775043980497894</v>
      </c>
      <c r="M44" s="60">
        <f t="shared" si="9"/>
        <v>0.15660536473605632</v>
      </c>
      <c r="N44" s="60">
        <f t="shared" si="9"/>
        <v>0.1307394139635023</v>
      </c>
      <c r="O44" s="60">
        <f t="shared" si="9"/>
        <v>0.10923885010927689</v>
      </c>
      <c r="P44" s="60">
        <f t="shared" si="9"/>
        <v>0.09135133627989055</v>
      </c>
      <c r="Q44" s="60">
        <f t="shared" si="9"/>
        <v>0.07645685822443331</v>
      </c>
      <c r="R44" s="60">
        <f t="shared" si="9"/>
        <v>0.0640439866670997</v>
      </c>
      <c r="S44" s="60">
        <f t="shared" si="8"/>
        <v>0.05369048060146299</v>
      </c>
      <c r="T44" s="60">
        <f t="shared" si="7"/>
        <v>0.04504742272789286</v>
      </c>
      <c r="U44" s="60">
        <f t="shared" si="7"/>
        <v>0.03782623168329078</v>
      </c>
      <c r="V44" s="60">
        <f t="shared" si="7"/>
        <v>0.031788019540171186</v>
      </c>
      <c r="W44" s="60">
        <f t="shared" si="7"/>
        <v>0.02673486306413772</v>
      </c>
      <c r="X44" s="60">
        <f t="shared" si="7"/>
        <v>0.022502638075399525</v>
      </c>
      <c r="Y44" s="60">
        <f t="shared" si="7"/>
        <v>0.018955131693970926</v>
      </c>
      <c r="Z44" s="60">
        <f t="shared" si="7"/>
        <v>0.01597920025273156</v>
      </c>
      <c r="AA44" s="60">
        <f t="shared" si="7"/>
        <v>0.013480783639870366</v>
      </c>
      <c r="AB44" s="61">
        <f t="shared" si="3"/>
        <v>38</v>
      </c>
    </row>
    <row r="45" spans="3:28" ht="12.75">
      <c r="C45" s="59">
        <v>39</v>
      </c>
      <c r="D45" s="60">
        <f t="shared" si="9"/>
        <v>0.8232345549829875</v>
      </c>
      <c r="E45" s="60">
        <f t="shared" si="9"/>
        <v>0.6783696702490426</v>
      </c>
      <c r="F45" s="60">
        <f t="shared" si="9"/>
        <v>0.5595312567664453</v>
      </c>
      <c r="G45" s="60">
        <f t="shared" si="9"/>
        <v>0.46194822348894127</v>
      </c>
      <c r="H45" s="60">
        <f t="shared" si="9"/>
        <v>0.3817413892902509</v>
      </c>
      <c r="I45" s="60">
        <f t="shared" si="9"/>
        <v>0.315753545997021</v>
      </c>
      <c r="J45" s="60">
        <f t="shared" si="9"/>
        <v>0.26141250458139786</v>
      </c>
      <c r="K45" s="60">
        <f t="shared" si="9"/>
        <v>0.21662060644945874</v>
      </c>
      <c r="L45" s="60">
        <f t="shared" si="9"/>
        <v>0.1796654926363435</v>
      </c>
      <c r="M45" s="60">
        <f t="shared" si="9"/>
        <v>0.1491479664152917</v>
      </c>
      <c r="N45" s="60">
        <f t="shared" si="9"/>
        <v>0.12392361513128179</v>
      </c>
      <c r="O45" s="60">
        <f t="shared" si="9"/>
        <v>0.10305551897101592</v>
      </c>
      <c r="P45" s="60">
        <f t="shared" si="9"/>
        <v>0.08577590261022587</v>
      </c>
      <c r="Q45" s="60">
        <f t="shared" si="9"/>
        <v>0.07145500768638627</v>
      </c>
      <c r="R45" s="60">
        <f t="shared" si="9"/>
        <v>0.05957580155079043</v>
      </c>
      <c r="S45" s="60">
        <f t="shared" si="8"/>
        <v>0.049713407964317585</v>
      </c>
      <c r="T45" s="60">
        <f t="shared" si="7"/>
        <v>0.041518361961191574</v>
      </c>
      <c r="U45" s="60">
        <f t="shared" si="7"/>
        <v>0.03470296484705577</v>
      </c>
      <c r="V45" s="60">
        <f t="shared" si="7"/>
        <v>0.029030154831206564</v>
      </c>
      <c r="W45" s="60">
        <f t="shared" si="7"/>
        <v>0.024304420967397926</v>
      </c>
      <c r="X45" s="60">
        <f t="shared" si="7"/>
        <v>0.020364378348777853</v>
      </c>
      <c r="Y45" s="60">
        <f t="shared" si="7"/>
        <v>0.017076695219793627</v>
      </c>
      <c r="Z45" s="60">
        <f t="shared" si="7"/>
        <v>0.01433112130289826</v>
      </c>
      <c r="AA45" s="60">
        <f t="shared" si="7"/>
        <v>0.01203641396416997</v>
      </c>
      <c r="AB45" s="61">
        <f t="shared" si="3"/>
        <v>39</v>
      </c>
    </row>
    <row r="46" spans="3:28" ht="13.5" thickBot="1">
      <c r="C46" s="62">
        <v>40</v>
      </c>
      <c r="D46" s="63">
        <f t="shared" si="9"/>
        <v>0.8191388606795896</v>
      </c>
      <c r="E46" s="63">
        <f t="shared" si="9"/>
        <v>0.6716531388604381</v>
      </c>
      <c r="F46" s="63">
        <f t="shared" si="9"/>
        <v>0.5512623219373846</v>
      </c>
      <c r="G46" s="63">
        <f t="shared" si="9"/>
        <v>0.45289041518523643</v>
      </c>
      <c r="H46" s="63">
        <f t="shared" si="9"/>
        <v>0.37243062369780583</v>
      </c>
      <c r="I46" s="63">
        <f t="shared" si="9"/>
        <v>0.30655684077380685</v>
      </c>
      <c r="J46" s="63">
        <f t="shared" si="9"/>
        <v>0.25257246819458734</v>
      </c>
      <c r="K46" s="63">
        <f t="shared" si="9"/>
        <v>0.20828904466294101</v>
      </c>
      <c r="L46" s="63">
        <f t="shared" si="9"/>
        <v>0.17192870108741007</v>
      </c>
      <c r="M46" s="63">
        <f t="shared" si="9"/>
        <v>0.14204568230027784</v>
      </c>
      <c r="N46" s="63">
        <f t="shared" si="9"/>
        <v>0.1174631423045325</v>
      </c>
      <c r="O46" s="63">
        <f t="shared" si="9"/>
        <v>0.09722218770850559</v>
      </c>
      <c r="P46" s="63">
        <f t="shared" si="9"/>
        <v>0.08054075362462523</v>
      </c>
      <c r="Q46" s="63">
        <f t="shared" si="9"/>
        <v>0.06678038101531426</v>
      </c>
      <c r="R46" s="63">
        <f t="shared" si="9"/>
        <v>0.055419350279805046</v>
      </c>
      <c r="S46" s="63">
        <f t="shared" si="8"/>
        <v>0.04603093330029406</v>
      </c>
      <c r="T46" s="63">
        <f t="shared" si="7"/>
        <v>0.0382657713928033</v>
      </c>
      <c r="U46" s="63">
        <f t="shared" si="7"/>
        <v>0.03183758242849152</v>
      </c>
      <c r="V46" s="63">
        <f t="shared" si="7"/>
        <v>0.02651155692347631</v>
      </c>
      <c r="W46" s="63">
        <f t="shared" si="7"/>
        <v>0.022094928152179935</v>
      </c>
      <c r="X46" s="63">
        <f t="shared" si="7"/>
        <v>0.018429301673102128</v>
      </c>
      <c r="Y46" s="63">
        <f t="shared" si="7"/>
        <v>0.015384410107922184</v>
      </c>
      <c r="Z46" s="63">
        <f t="shared" si="7"/>
        <v>0.012853023590043281</v>
      </c>
      <c r="AA46" s="63">
        <f t="shared" si="7"/>
        <v>0.010746798182294614</v>
      </c>
      <c r="AB46" s="64">
        <f t="shared" si="3"/>
        <v>40</v>
      </c>
    </row>
    <row r="47" spans="3:28" ht="13.5" thickTop="1">
      <c r="C47" s="59">
        <v>41</v>
      </c>
      <c r="D47" s="60">
        <f t="shared" si="9"/>
        <v>0.8150635429647659</v>
      </c>
      <c r="E47" s="60">
        <f t="shared" si="9"/>
        <v>0.6650031077826118</v>
      </c>
      <c r="F47" s="60">
        <f t="shared" si="9"/>
        <v>0.5431155881156499</v>
      </c>
      <c r="G47" s="60">
        <f t="shared" si="9"/>
        <v>0.4440102109659181</v>
      </c>
      <c r="H47" s="60">
        <f t="shared" si="9"/>
        <v>0.36334694994907885</v>
      </c>
      <c r="I47" s="60">
        <f t="shared" si="9"/>
        <v>0.2976280007512688</v>
      </c>
      <c r="J47" s="60">
        <f t="shared" si="9"/>
        <v>0.24403137023631633</v>
      </c>
      <c r="K47" s="60">
        <f t="shared" si="9"/>
        <v>0.2002779275605202</v>
      </c>
      <c r="L47" s="60">
        <f t="shared" si="9"/>
        <v>0.16452507281091874</v>
      </c>
      <c r="M47" s="60">
        <f t="shared" si="9"/>
        <v>0.13528160219074079</v>
      </c>
      <c r="N47" s="60">
        <f t="shared" si="9"/>
        <v>0.11133947137870381</v>
      </c>
      <c r="O47" s="60">
        <f t="shared" si="9"/>
        <v>0.09171904500802415</v>
      </c>
      <c r="P47" s="60">
        <f t="shared" si="9"/>
        <v>0.07562512077429599</v>
      </c>
      <c r="Q47" s="60">
        <f t="shared" si="9"/>
        <v>0.06241157104234978</v>
      </c>
      <c r="R47" s="60">
        <f t="shared" si="9"/>
        <v>0.05155288398121399</v>
      </c>
      <c r="S47" s="60">
        <f t="shared" si="8"/>
        <v>0.04262123453730931</v>
      </c>
      <c r="T47" s="60">
        <f t="shared" si="7"/>
        <v>0.03526799206709982</v>
      </c>
      <c r="U47" s="60">
        <f t="shared" si="7"/>
        <v>0.029208791218799563</v>
      </c>
      <c r="V47" s="60">
        <f t="shared" si="7"/>
        <v>0.02421146751002403</v>
      </c>
      <c r="W47" s="60">
        <f t="shared" si="7"/>
        <v>0.020086298320163575</v>
      </c>
      <c r="X47" s="60">
        <f t="shared" si="7"/>
        <v>0.016678101061630885</v>
      </c>
      <c r="Y47" s="60">
        <f t="shared" si="7"/>
        <v>0.01385982892605602</v>
      </c>
      <c r="Z47" s="60">
        <f t="shared" si="7"/>
        <v>0.011527375417079178</v>
      </c>
      <c r="AA47" s="60">
        <f t="shared" si="7"/>
        <v>0.009595355519905906</v>
      </c>
      <c r="AB47" s="61">
        <f t="shared" si="3"/>
        <v>41</v>
      </c>
    </row>
    <row r="48" spans="3:28" ht="12.75">
      <c r="C48" s="59">
        <v>42</v>
      </c>
      <c r="D48" s="60">
        <f t="shared" si="9"/>
        <v>0.8110085004624539</v>
      </c>
      <c r="E48" s="60">
        <f t="shared" si="9"/>
        <v>0.6584189185966454</v>
      </c>
      <c r="F48" s="60">
        <f t="shared" si="9"/>
        <v>0.5350892493750246</v>
      </c>
      <c r="G48" s="60">
        <f t="shared" si="9"/>
        <v>0.4353041283979589</v>
      </c>
      <c r="H48" s="60">
        <f t="shared" si="9"/>
        <v>0.3544848292186135</v>
      </c>
      <c r="I48" s="60">
        <f t="shared" si="9"/>
        <v>0.288959224030358</v>
      </c>
      <c r="J48" s="60">
        <f t="shared" si="9"/>
        <v>0.2357791016776003</v>
      </c>
      <c r="K48" s="60">
        <f t="shared" si="9"/>
        <v>0.19257493034665407</v>
      </c>
      <c r="L48" s="60">
        <f t="shared" si="9"/>
        <v>0.15744026106308018</v>
      </c>
      <c r="M48" s="60">
        <f t="shared" si="9"/>
        <v>0.12883962113403885</v>
      </c>
      <c r="N48" s="60">
        <f t="shared" si="9"/>
        <v>0.1055350439608567</v>
      </c>
      <c r="O48" s="60">
        <f t="shared" si="9"/>
        <v>0.08652740095096617</v>
      </c>
      <c r="P48" s="60">
        <f t="shared" si="9"/>
        <v>0.07100950307445635</v>
      </c>
      <c r="Q48" s="60">
        <f t="shared" si="9"/>
        <v>0.05832857106761662</v>
      </c>
      <c r="R48" s="60">
        <f t="shared" si="9"/>
        <v>0.047956171145315356</v>
      </c>
      <c r="S48" s="60">
        <f t="shared" si="8"/>
        <v>0.03946410605306418</v>
      </c>
      <c r="T48" s="60">
        <f t="shared" si="7"/>
        <v>0.03250506181299522</v>
      </c>
      <c r="U48" s="60">
        <f t="shared" si="7"/>
        <v>0.026797056164036295</v>
      </c>
      <c r="V48" s="60">
        <f t="shared" si="7"/>
        <v>0.022110929232898653</v>
      </c>
      <c r="W48" s="60">
        <f t="shared" si="7"/>
        <v>0.018260271200148705</v>
      </c>
      <c r="X48" s="60">
        <f t="shared" si="7"/>
        <v>0.015093304128172745</v>
      </c>
      <c r="Y48" s="60">
        <f t="shared" si="7"/>
        <v>0.01248633236581623</v>
      </c>
      <c r="Z48" s="60">
        <f t="shared" si="7"/>
        <v>0.01033845328886025</v>
      </c>
      <c r="AA48" s="60">
        <f t="shared" si="7"/>
        <v>0.0085672817142017</v>
      </c>
      <c r="AB48" s="61">
        <f t="shared" si="3"/>
        <v>42</v>
      </c>
    </row>
    <row r="49" spans="3:28" ht="12.75">
      <c r="C49" s="59">
        <v>43</v>
      </c>
      <c r="D49" s="60">
        <f t="shared" si="9"/>
        <v>0.8069736323009491</v>
      </c>
      <c r="E49" s="60">
        <f t="shared" si="9"/>
        <v>0.6518999194026194</v>
      </c>
      <c r="F49" s="60">
        <f t="shared" si="9"/>
        <v>0.5271815264778568</v>
      </c>
      <c r="G49" s="60">
        <f t="shared" si="9"/>
        <v>0.4267687533313323</v>
      </c>
      <c r="H49" s="60">
        <f t="shared" si="9"/>
        <v>0.3458388577742571</v>
      </c>
      <c r="I49" s="60">
        <f t="shared" si="9"/>
        <v>0.2805429359518039</v>
      </c>
      <c r="J49" s="60">
        <f t="shared" si="9"/>
        <v>0.2278058953406766</v>
      </c>
      <c r="K49" s="60">
        <f t="shared" si="9"/>
        <v>0.18516820225639813</v>
      </c>
      <c r="L49" s="60">
        <f t="shared" si="9"/>
        <v>0.15066053690246906</v>
      </c>
      <c r="M49" s="60">
        <f t="shared" si="9"/>
        <v>0.12270440108003698</v>
      </c>
      <c r="N49" s="60">
        <f t="shared" si="9"/>
        <v>0.10003321702450872</v>
      </c>
      <c r="O49" s="60">
        <f t="shared" si="9"/>
        <v>0.08162962353864732</v>
      </c>
      <c r="P49" s="60">
        <f t="shared" si="9"/>
        <v>0.06667558974127358</v>
      </c>
      <c r="Q49" s="60">
        <f t="shared" si="9"/>
        <v>0.05451268324076319</v>
      </c>
      <c r="R49" s="60">
        <f t="shared" si="9"/>
        <v>0.04461039176308405</v>
      </c>
      <c r="S49" s="60">
        <f t="shared" si="8"/>
        <v>0.03654083893802239</v>
      </c>
      <c r="T49" s="60">
        <f t="shared" si="7"/>
        <v>0.029958582316124624</v>
      </c>
      <c r="U49" s="60">
        <f t="shared" si="7"/>
        <v>0.02458445519636357</v>
      </c>
      <c r="V49" s="60">
        <f t="shared" si="7"/>
        <v>0.02019262943643713</v>
      </c>
      <c r="W49" s="60">
        <f t="shared" si="7"/>
        <v>0.01660024654558973</v>
      </c>
      <c r="X49" s="60">
        <f t="shared" si="7"/>
        <v>0.013659098758527373</v>
      </c>
      <c r="Y49" s="60">
        <f t="shared" si="7"/>
        <v>0.01124894807731192</v>
      </c>
      <c r="Z49" s="60">
        <f t="shared" si="7"/>
        <v>0.00927215541601816</v>
      </c>
      <c r="AA49" s="60">
        <f t="shared" si="7"/>
        <v>0.0076493586733943734</v>
      </c>
      <c r="AB49" s="61">
        <f t="shared" si="3"/>
        <v>43</v>
      </c>
    </row>
    <row r="50" spans="3:28" ht="12.75">
      <c r="C50" s="59">
        <v>44</v>
      </c>
      <c r="D50" s="60">
        <f t="shared" si="9"/>
        <v>0.8029588381103973</v>
      </c>
      <c r="E50" s="60">
        <f t="shared" si="9"/>
        <v>0.6454454647550686</v>
      </c>
      <c r="F50" s="60">
        <f t="shared" si="9"/>
        <v>0.5193906664806472</v>
      </c>
      <c r="G50" s="60">
        <f t="shared" si="9"/>
        <v>0.41840073856012966</v>
      </c>
      <c r="H50" s="60">
        <f t="shared" si="9"/>
        <v>0.33740376368220215</v>
      </c>
      <c r="I50" s="60">
        <f t="shared" si="9"/>
        <v>0.27237178247747956</v>
      </c>
      <c r="J50" s="60">
        <f t="shared" si="9"/>
        <v>0.22010231433881802</v>
      </c>
      <c r="K50" s="60">
        <f t="shared" si="9"/>
        <v>0.17804634832345972</v>
      </c>
      <c r="L50" s="60">
        <f t="shared" si="9"/>
        <v>0.14417276258609482</v>
      </c>
      <c r="M50" s="60">
        <f t="shared" si="9"/>
        <v>0.11686133436193999</v>
      </c>
      <c r="N50" s="60">
        <f t="shared" si="9"/>
        <v>0.0948182151891078</v>
      </c>
      <c r="O50" s="60">
        <f t="shared" si="9"/>
        <v>0.07700907881004464</v>
      </c>
      <c r="P50" s="60">
        <f t="shared" si="9"/>
        <v>0.06260618755049163</v>
      </c>
      <c r="Q50" s="60">
        <f t="shared" si="9"/>
        <v>0.05094643293529271</v>
      </c>
      <c r="R50" s="60">
        <f t="shared" si="9"/>
        <v>0.04149803884938051</v>
      </c>
      <c r="S50" s="60">
        <f t="shared" si="8"/>
        <v>0.0338341101277985</v>
      </c>
      <c r="T50" s="60">
        <f t="shared" si="7"/>
        <v>0.02761159660472317</v>
      </c>
      <c r="U50" s="60">
        <f t="shared" si="7"/>
        <v>0.022554546051709697</v>
      </c>
      <c r="V50" s="60">
        <f t="shared" si="7"/>
        <v>0.01844075747619829</v>
      </c>
      <c r="W50" s="60">
        <f t="shared" si="7"/>
        <v>0.015091133223263388</v>
      </c>
      <c r="X50" s="60">
        <f t="shared" si="7"/>
        <v>0.012361175347083595</v>
      </c>
      <c r="Y50" s="60">
        <f t="shared" si="7"/>
        <v>0.010134187457037766</v>
      </c>
      <c r="Z50" s="60">
        <f t="shared" si="7"/>
        <v>0.008315834453827945</v>
      </c>
      <c r="AA50" s="60">
        <f t="shared" si="7"/>
        <v>0.006829784529816406</v>
      </c>
      <c r="AB50" s="61">
        <f t="shared" si="3"/>
        <v>44</v>
      </c>
    </row>
    <row r="51" spans="3:28" ht="13.5" thickBot="1">
      <c r="C51" s="62">
        <v>45</v>
      </c>
      <c r="D51" s="63">
        <f t="shared" si="9"/>
        <v>0.798964018020296</v>
      </c>
      <c r="E51" s="63">
        <f t="shared" si="9"/>
        <v>0.6390549155990778</v>
      </c>
      <c r="F51" s="63">
        <f t="shared" si="9"/>
        <v>0.5117149423454652</v>
      </c>
      <c r="G51" s="63">
        <f t="shared" si="9"/>
        <v>0.41019680250993107</v>
      </c>
      <c r="H51" s="63">
        <f t="shared" si="9"/>
        <v>0.3291744035923923</v>
      </c>
      <c r="I51" s="63">
        <f t="shared" si="9"/>
        <v>0.26443862376454325</v>
      </c>
      <c r="J51" s="63">
        <f t="shared" si="9"/>
        <v>0.21265924090707056</v>
      </c>
      <c r="K51" s="63">
        <f t="shared" si="9"/>
        <v>0.17119841184948048</v>
      </c>
      <c r="L51" s="63">
        <f t="shared" si="9"/>
        <v>0.13796436611109553</v>
      </c>
      <c r="M51" s="63">
        <f t="shared" si="9"/>
        <v>0.1112965089161333</v>
      </c>
      <c r="N51" s="63">
        <f t="shared" si="9"/>
        <v>0.08987508548730598</v>
      </c>
      <c r="O51" s="63">
        <f t="shared" si="9"/>
        <v>0.07265007434909872</v>
      </c>
      <c r="P51" s="63">
        <f t="shared" si="9"/>
        <v>0.0587851526295696</v>
      </c>
      <c r="Q51" s="63">
        <f t="shared" si="9"/>
        <v>0.04761348872457262</v>
      </c>
      <c r="R51" s="63">
        <f t="shared" si="9"/>
        <v>0.03860282683663303</v>
      </c>
      <c r="S51" s="63">
        <f t="shared" si="8"/>
        <v>0.03132787974796158</v>
      </c>
      <c r="T51" s="63">
        <f t="shared" si="7"/>
        <v>0.025448476133385405</v>
      </c>
      <c r="U51" s="63">
        <f t="shared" si="7"/>
        <v>0.020692244084137335</v>
      </c>
      <c r="V51" s="63">
        <f t="shared" si="7"/>
        <v>0.016840874407487025</v>
      </c>
      <c r="W51" s="63">
        <f t="shared" si="7"/>
        <v>0.013719212021148534</v>
      </c>
      <c r="X51" s="63">
        <f t="shared" si="7"/>
        <v>0.01118658402451004</v>
      </c>
      <c r="Y51" s="63">
        <f t="shared" si="7"/>
        <v>0.009129898609943931</v>
      </c>
      <c r="Z51" s="63">
        <f t="shared" si="7"/>
        <v>0.007458147492222372</v>
      </c>
      <c r="AA51" s="63">
        <f t="shared" si="7"/>
        <v>0.00609802190162179</v>
      </c>
      <c r="AB51" s="64">
        <f t="shared" si="3"/>
        <v>45</v>
      </c>
    </row>
    <row r="52" spans="3:28" ht="13.5" thickTop="1">
      <c r="C52" s="59">
        <v>46</v>
      </c>
      <c r="D52" s="60">
        <f t="shared" si="9"/>
        <v>0.794989072657011</v>
      </c>
      <c r="E52" s="60">
        <f t="shared" si="9"/>
        <v>0.6327276392070076</v>
      </c>
      <c r="F52" s="60">
        <f t="shared" si="9"/>
        <v>0.5041526525571087</v>
      </c>
      <c r="G52" s="60">
        <f t="shared" si="9"/>
        <v>0.40215372795091275</v>
      </c>
      <c r="H52" s="60">
        <f t="shared" si="9"/>
        <v>0.321145759602334</v>
      </c>
      <c r="I52" s="60">
        <f t="shared" si="9"/>
        <v>0.256736527926741</v>
      </c>
      <c r="J52" s="60">
        <f t="shared" si="9"/>
        <v>0.2054678656106962</v>
      </c>
      <c r="K52" s="60">
        <f t="shared" si="9"/>
        <v>0.1646138575475774</v>
      </c>
      <c r="L52" s="60">
        <f t="shared" si="9"/>
        <v>0.132023316852723</v>
      </c>
      <c r="M52" s="60">
        <f t="shared" si="9"/>
        <v>0.10599667515822221</v>
      </c>
      <c r="N52" s="60">
        <f t="shared" si="9"/>
        <v>0.08518965449033741</v>
      </c>
      <c r="O52" s="60">
        <f t="shared" si="9"/>
        <v>0.06853780598971576</v>
      </c>
      <c r="P52" s="60">
        <f t="shared" si="9"/>
        <v>0.055197326412741415</v>
      </c>
      <c r="Q52" s="60">
        <f t="shared" si="9"/>
        <v>0.044498587593058525</v>
      </c>
      <c r="R52" s="60">
        <f t="shared" si="9"/>
        <v>0.03590960635965864</v>
      </c>
      <c r="S52" s="60">
        <f t="shared" si="8"/>
        <v>0.02900729606292738</v>
      </c>
      <c r="T52" s="60">
        <f t="shared" si="7"/>
        <v>0.02345481671279761</v>
      </c>
      <c r="U52" s="60">
        <f t="shared" si="7"/>
        <v>0.018983710168933333</v>
      </c>
      <c r="V52" s="60">
        <f t="shared" si="7"/>
        <v>0.015379793979440205</v>
      </c>
      <c r="W52" s="60">
        <f t="shared" si="7"/>
        <v>0.012472010928316847</v>
      </c>
      <c r="X52" s="60">
        <f t="shared" si="7"/>
        <v>0.010123605452045286</v>
      </c>
      <c r="Y52" s="60">
        <f t="shared" si="7"/>
        <v>0.00822513388283237</v>
      </c>
      <c r="Z52" s="60">
        <f t="shared" si="7"/>
        <v>0.006688921517688227</v>
      </c>
      <c r="AA52" s="60">
        <f t="shared" si="7"/>
        <v>0.0054446624121623115</v>
      </c>
      <c r="AB52" s="61">
        <f t="shared" si="3"/>
        <v>46</v>
      </c>
    </row>
    <row r="53" spans="3:28" ht="12.75">
      <c r="C53" s="59">
        <v>47</v>
      </c>
      <c r="D53" s="60">
        <f t="shared" si="9"/>
        <v>0.7910339031413047</v>
      </c>
      <c r="E53" s="60">
        <f t="shared" si="9"/>
        <v>0.6264630091158494</v>
      </c>
      <c r="F53" s="60">
        <f t="shared" si="9"/>
        <v>0.49670212074591996</v>
      </c>
      <c r="G53" s="60">
        <f t="shared" si="9"/>
        <v>0.3942683607361891</v>
      </c>
      <c r="H53" s="60">
        <f t="shared" si="9"/>
        <v>0.313312936197399</v>
      </c>
      <c r="I53" s="60">
        <f t="shared" si="9"/>
        <v>0.24925876497741845</v>
      </c>
      <c r="J53" s="60">
        <f t="shared" si="9"/>
        <v>0.19851967691854708</v>
      </c>
      <c r="K53" s="60">
        <f t="shared" si="9"/>
        <v>0.15828255533420904</v>
      </c>
      <c r="L53" s="60">
        <f t="shared" si="9"/>
        <v>0.12633810225140957</v>
      </c>
      <c r="M53" s="60">
        <f t="shared" si="9"/>
        <v>0.10094921443640208</v>
      </c>
      <c r="N53" s="60">
        <f t="shared" si="9"/>
        <v>0.08074848766856628</v>
      </c>
      <c r="O53" s="60">
        <f t="shared" si="9"/>
        <v>0.06465830753746768</v>
      </c>
      <c r="P53" s="60">
        <f t="shared" si="9"/>
        <v>0.05182847550492153</v>
      </c>
      <c r="Q53" s="60">
        <f t="shared" si="9"/>
        <v>0.04158746504024161</v>
      </c>
      <c r="R53" s="60">
        <f t="shared" si="9"/>
        <v>0.03340428498572896</v>
      </c>
      <c r="S53" s="60">
        <f t="shared" si="8"/>
        <v>0.026858607465673496</v>
      </c>
      <c r="T53" s="60">
        <f t="shared" si="7"/>
        <v>0.021617342592440192</v>
      </c>
      <c r="U53" s="60">
        <f t="shared" si="7"/>
        <v>0.017416247861406726</v>
      </c>
      <c r="V53" s="60">
        <f t="shared" si="7"/>
        <v>0.014045473953826671</v>
      </c>
      <c r="W53" s="60">
        <f t="shared" si="7"/>
        <v>0.011338191753015316</v>
      </c>
      <c r="X53" s="60">
        <f t="shared" si="7"/>
        <v>0.00916163389325365</v>
      </c>
      <c r="Y53" s="60">
        <f t="shared" si="7"/>
        <v>0.007410030525074209</v>
      </c>
      <c r="Z53" s="60">
        <f t="shared" si="7"/>
        <v>0.005999032751289889</v>
      </c>
      <c r="AA53" s="60">
        <f t="shared" si="7"/>
        <v>0.004861305725144922</v>
      </c>
      <c r="AB53" s="61">
        <f t="shared" si="3"/>
        <v>47</v>
      </c>
    </row>
    <row r="54" spans="3:28" ht="12.75">
      <c r="C54" s="59">
        <v>48</v>
      </c>
      <c r="D54" s="60">
        <f t="shared" si="9"/>
        <v>0.7870984110858754</v>
      </c>
      <c r="E54" s="60">
        <f t="shared" si="9"/>
        <v>0.6202604050651972</v>
      </c>
      <c r="F54" s="60">
        <f t="shared" si="9"/>
        <v>0.4893616953161774</v>
      </c>
      <c r="G54" s="60">
        <f t="shared" si="9"/>
        <v>0.3865376085648912</v>
      </c>
      <c r="H54" s="60">
        <f t="shared" si="9"/>
        <v>0.3056711572657551</v>
      </c>
      <c r="I54" s="60">
        <f t="shared" si="9"/>
        <v>0.24199880094894996</v>
      </c>
      <c r="J54" s="60">
        <f t="shared" si="9"/>
        <v>0.19180645112903102</v>
      </c>
      <c r="K54" s="60">
        <f t="shared" si="9"/>
        <v>0.15219476474443175</v>
      </c>
      <c r="L54" s="60">
        <f t="shared" si="9"/>
        <v>0.12089770550374127</v>
      </c>
      <c r="M54" s="60">
        <f t="shared" si="9"/>
        <v>0.09614210898704961</v>
      </c>
      <c r="N54" s="60">
        <f t="shared" si="9"/>
        <v>0.07653885087067894</v>
      </c>
      <c r="O54" s="60">
        <f t="shared" si="9"/>
        <v>0.06099840333723368</v>
      </c>
      <c r="P54" s="60">
        <f t="shared" si="9"/>
        <v>0.04866523521588875</v>
      </c>
      <c r="Q54" s="60">
        <f t="shared" si="9"/>
        <v>0.038866789757235155</v>
      </c>
      <c r="R54" s="60">
        <f t="shared" si="9"/>
        <v>0.03107375347509671</v>
      </c>
      <c r="S54" s="60">
        <f t="shared" si="8"/>
        <v>0.024869080986734723</v>
      </c>
      <c r="T54" s="60">
        <f aca="true" t="shared" si="10" ref="T54:AA54">PV(T$6,$C54,,-$B$7)</f>
        <v>0.019923818057548566</v>
      </c>
      <c r="U54" s="60">
        <f t="shared" si="10"/>
        <v>0.015978209047162135</v>
      </c>
      <c r="V54" s="60">
        <f t="shared" si="10"/>
        <v>0.012826916852809744</v>
      </c>
      <c r="W54" s="60">
        <f t="shared" si="10"/>
        <v>0.010307447048195742</v>
      </c>
      <c r="X54" s="60">
        <f t="shared" si="10"/>
        <v>0.008291071396609642</v>
      </c>
      <c r="Y54" s="60">
        <f t="shared" si="10"/>
        <v>0.006675703175742529</v>
      </c>
      <c r="Z54" s="60">
        <f t="shared" si="10"/>
        <v>0.005380298431650124</v>
      </c>
      <c r="AA54" s="60">
        <f t="shared" si="10"/>
        <v>0.0043404515403079645</v>
      </c>
      <c r="AB54" s="61">
        <f t="shared" si="3"/>
        <v>48</v>
      </c>
    </row>
    <row r="55" spans="3:28" ht="12.75">
      <c r="C55" s="59">
        <v>49</v>
      </c>
      <c r="D55" s="60">
        <f t="shared" si="9"/>
        <v>0.7831824985929109</v>
      </c>
      <c r="E55" s="60">
        <f t="shared" si="9"/>
        <v>0.6141192129358387</v>
      </c>
      <c r="F55" s="60">
        <f t="shared" si="9"/>
        <v>0.48212974907997785</v>
      </c>
      <c r="G55" s="60">
        <f t="shared" si="9"/>
        <v>0.37895843976950117</v>
      </c>
      <c r="H55" s="60">
        <f t="shared" si="9"/>
        <v>0.2982157631861026</v>
      </c>
      <c r="I55" s="60">
        <f t="shared" si="9"/>
        <v>0.2349502921834466</v>
      </c>
      <c r="J55" s="60">
        <f t="shared" si="9"/>
        <v>0.185320242636745</v>
      </c>
      <c r="K55" s="60">
        <f t="shared" si="9"/>
        <v>0.14634111994656898</v>
      </c>
      <c r="L55" s="60">
        <f t="shared" si="9"/>
        <v>0.11569158421410647</v>
      </c>
      <c r="M55" s="60">
        <f t="shared" si="9"/>
        <v>0.09156391332099963</v>
      </c>
      <c r="N55" s="60">
        <f t="shared" si="9"/>
        <v>0.0725486738110701</v>
      </c>
      <c r="O55" s="60">
        <f t="shared" si="9"/>
        <v>0.05754566352569214</v>
      </c>
      <c r="P55" s="60">
        <f t="shared" si="9"/>
        <v>0.045695056540740624</v>
      </c>
      <c r="Q55" s="60">
        <f t="shared" si="9"/>
        <v>0.03632410257685528</v>
      </c>
      <c r="R55" s="60">
        <f t="shared" si="9"/>
        <v>0.028905817186136478</v>
      </c>
      <c r="S55" s="60">
        <f t="shared" si="9"/>
        <v>0.023026926839569185</v>
      </c>
      <c r="T55" s="60">
        <f aca="true" t="shared" si="11" ref="T55:AA56">PV(T$6,$C55,,-$B$7)</f>
        <v>0.018362965951657664</v>
      </c>
      <c r="U55" s="60">
        <f t="shared" si="11"/>
        <v>0.014658907382717554</v>
      </c>
      <c r="V55" s="60">
        <f t="shared" si="11"/>
        <v>0.011714079317634468</v>
      </c>
      <c r="W55" s="60">
        <f t="shared" si="11"/>
        <v>0.009370406407450673</v>
      </c>
      <c r="X55" s="60">
        <f t="shared" si="11"/>
        <v>0.007503232033130897</v>
      </c>
      <c r="Y55" s="60">
        <f t="shared" si="11"/>
        <v>0.006014147005173449</v>
      </c>
      <c r="Z55" s="60">
        <f t="shared" si="11"/>
        <v>0.004825379759327465</v>
      </c>
      <c r="AA55" s="60">
        <f t="shared" si="11"/>
        <v>0.0038754031609892544</v>
      </c>
      <c r="AB55" s="61">
        <f t="shared" si="3"/>
        <v>49</v>
      </c>
    </row>
    <row r="56" spans="3:28" ht="13.5" thickBot="1">
      <c r="C56" s="62">
        <v>50</v>
      </c>
      <c r="D56" s="63">
        <f aca="true" t="shared" si="12" ref="D56:S56">PV(D$6,$C56,,-$B$7)</f>
        <v>0.7792860682516529</v>
      </c>
      <c r="E56" s="63">
        <f t="shared" si="12"/>
        <v>0.6080388246889492</v>
      </c>
      <c r="F56" s="63">
        <f t="shared" si="12"/>
        <v>0.47500467889652986</v>
      </c>
      <c r="G56" s="63">
        <f t="shared" si="12"/>
        <v>0.3715278821269619</v>
      </c>
      <c r="H56" s="63">
        <f t="shared" si="12"/>
        <v>0.29094220798644155</v>
      </c>
      <c r="I56" s="63">
        <f t="shared" si="12"/>
        <v>0.22810707978975397</v>
      </c>
      <c r="J56" s="63">
        <f t="shared" si="12"/>
        <v>0.179053374528256</v>
      </c>
      <c r="K56" s="63">
        <f t="shared" si="12"/>
        <v>0.1407126153332394</v>
      </c>
      <c r="L56" s="63">
        <f t="shared" si="12"/>
        <v>0.11070964996565215</v>
      </c>
      <c r="M56" s="63">
        <f t="shared" si="12"/>
        <v>0.08720372697238059</v>
      </c>
      <c r="N56" s="63">
        <f t="shared" si="12"/>
        <v>0.06876651546072994</v>
      </c>
      <c r="O56" s="63">
        <f t="shared" si="12"/>
        <v>0.0542883618166907</v>
      </c>
      <c r="P56" s="63">
        <f t="shared" si="12"/>
        <v>0.04290615637628228</v>
      </c>
      <c r="Q56" s="63">
        <f t="shared" si="12"/>
        <v>0.03394775941762176</v>
      </c>
      <c r="R56" s="63">
        <f t="shared" si="12"/>
        <v>0.026889132266173472</v>
      </c>
      <c r="S56" s="63">
        <f t="shared" si="12"/>
        <v>0.02132122855515665</v>
      </c>
      <c r="T56" s="63">
        <f t="shared" si="11"/>
        <v>0.016924392582172963</v>
      </c>
      <c r="U56" s="63">
        <f t="shared" si="11"/>
        <v>0.013448538883227112</v>
      </c>
      <c r="V56" s="63">
        <f t="shared" si="11"/>
        <v>0.01069778933117303</v>
      </c>
      <c r="W56" s="63">
        <f t="shared" si="11"/>
        <v>0.008518551279500611</v>
      </c>
      <c r="X56" s="63">
        <f t="shared" si="11"/>
        <v>0.00679025523360262</v>
      </c>
      <c r="Y56" s="63">
        <f t="shared" si="11"/>
        <v>0.005418150455111215</v>
      </c>
      <c r="Z56" s="63">
        <f t="shared" si="11"/>
        <v>0.004327694851414767</v>
      </c>
      <c r="AA56" s="63">
        <f t="shared" si="11"/>
        <v>0.003460181393740405</v>
      </c>
      <c r="AB56" s="64">
        <f t="shared" si="3"/>
        <v>50</v>
      </c>
    </row>
    <row r="57" ht="13.5" thickTop="1"/>
    <row r="59" spans="1:27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1" spans="1:3" ht="13.5" thickBot="1">
      <c r="A61" t="s">
        <v>44</v>
      </c>
      <c r="C61" s="65"/>
    </row>
    <row r="62" spans="3:28" ht="17.25" thickBot="1" thickTop="1">
      <c r="C62" s="66" t="s">
        <v>42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1" t="s">
        <v>7</v>
      </c>
    </row>
    <row r="63" spans="1:28" ht="14.25" thickBot="1" thickTop="1">
      <c r="A63" s="27"/>
      <c r="B63" s="27"/>
      <c r="C63" s="53" t="s">
        <v>40</v>
      </c>
      <c r="D63" s="54">
        <v>0.005</v>
      </c>
      <c r="E63" s="54">
        <v>0.01</v>
      </c>
      <c r="F63" s="54">
        <v>0.015</v>
      </c>
      <c r="G63" s="54">
        <v>0.02</v>
      </c>
      <c r="H63" s="54">
        <v>0.025</v>
      </c>
      <c r="I63" s="54">
        <v>0.03</v>
      </c>
      <c r="J63" s="54">
        <v>0.035</v>
      </c>
      <c r="K63" s="54">
        <v>0.04</v>
      </c>
      <c r="L63" s="54">
        <v>0.045</v>
      </c>
      <c r="M63" s="54">
        <v>0.05</v>
      </c>
      <c r="N63" s="54">
        <v>0.055</v>
      </c>
      <c r="O63" s="54">
        <v>0.06</v>
      </c>
      <c r="P63" s="54">
        <v>0.065</v>
      </c>
      <c r="Q63" s="54">
        <v>0.07</v>
      </c>
      <c r="R63" s="54">
        <v>0.075</v>
      </c>
      <c r="S63" s="54">
        <v>0.08</v>
      </c>
      <c r="T63" s="54">
        <v>0.085</v>
      </c>
      <c r="U63" s="54">
        <v>0.09</v>
      </c>
      <c r="V63" s="54">
        <v>0.095</v>
      </c>
      <c r="W63" s="54">
        <v>0.1</v>
      </c>
      <c r="X63" s="54">
        <v>0.105</v>
      </c>
      <c r="Y63" s="54">
        <v>0.11</v>
      </c>
      <c r="Z63" s="54">
        <v>0.115</v>
      </c>
      <c r="AA63" s="54">
        <v>0.12</v>
      </c>
      <c r="AB63" s="58" t="s">
        <v>39</v>
      </c>
    </row>
    <row r="64" spans="1:28" ht="13.5" thickTop="1">
      <c r="A64" s="51"/>
      <c r="B64" s="50">
        <v>1</v>
      </c>
      <c r="C64" s="59">
        <v>1</v>
      </c>
      <c r="D64" s="60">
        <f aca="true" t="shared" si="13" ref="D64:D80">PV(D$63,$C64,-$B$64)</f>
        <v>0.9950248756218695</v>
      </c>
      <c r="E64" s="60">
        <f aca="true" t="shared" si="14" ref="E64:T79">PV(E$63,$C64,-$B$64)</f>
        <v>0.990099009900991</v>
      </c>
      <c r="F64" s="60">
        <f t="shared" si="14"/>
        <v>0.9852216748768411</v>
      </c>
      <c r="G64" s="60">
        <f t="shared" si="14"/>
        <v>0.980392156862746</v>
      </c>
      <c r="H64" s="60">
        <f t="shared" si="14"/>
        <v>0.9756097560975576</v>
      </c>
      <c r="I64" s="60">
        <f t="shared" si="14"/>
        <v>0.9708737864077678</v>
      </c>
      <c r="J64" s="60">
        <f t="shared" si="14"/>
        <v>0.9661835748792249</v>
      </c>
      <c r="K64" s="60">
        <f t="shared" si="14"/>
        <v>0.9615384615384623</v>
      </c>
      <c r="L64" s="60">
        <f t="shared" si="14"/>
        <v>0.9569377990430608</v>
      </c>
      <c r="M64" s="60">
        <f t="shared" si="14"/>
        <v>0.9523809523809532</v>
      </c>
      <c r="N64" s="60">
        <f t="shared" si="14"/>
        <v>0.9478672985781981</v>
      </c>
      <c r="O64" s="60">
        <f t="shared" si="14"/>
        <v>0.9433962264150951</v>
      </c>
      <c r="P64" s="60">
        <f t="shared" si="14"/>
        <v>0.938967136150234</v>
      </c>
      <c r="Q64" s="60">
        <f t="shared" si="14"/>
        <v>0.9345794392523372</v>
      </c>
      <c r="R64" s="60">
        <f t="shared" si="14"/>
        <v>0.9302325581395344</v>
      </c>
      <c r="S64" s="60">
        <f t="shared" si="14"/>
        <v>0.9259259259259267</v>
      </c>
      <c r="T64" s="60">
        <f t="shared" si="14"/>
        <v>0.9216589861751149</v>
      </c>
      <c r="U64" s="60">
        <f aca="true" t="shared" si="15" ref="U64:AA79">PV(U$63,$C64,-$B$64)</f>
        <v>0.9174311926605512</v>
      </c>
      <c r="V64" s="60">
        <f t="shared" si="15"/>
        <v>0.9132420091324198</v>
      </c>
      <c r="W64" s="60">
        <f t="shared" si="15"/>
        <v>0.9090909090909098</v>
      </c>
      <c r="X64" s="60">
        <f t="shared" si="15"/>
        <v>0.9049773755656108</v>
      </c>
      <c r="Y64" s="60">
        <f t="shared" si="15"/>
        <v>0.9009009009009016</v>
      </c>
      <c r="Z64" s="60">
        <f t="shared" si="15"/>
        <v>0.8968609865470851</v>
      </c>
      <c r="AA64" s="60">
        <f t="shared" si="15"/>
        <v>0.8928571428571436</v>
      </c>
      <c r="AB64" s="61">
        <f aca="true" t="shared" si="16" ref="AB64:AB112">$C64</f>
        <v>1</v>
      </c>
    </row>
    <row r="65" spans="3:28" ht="12.75">
      <c r="C65" s="59">
        <v>2</v>
      </c>
      <c r="D65" s="60">
        <f t="shared" si="13"/>
        <v>1.985099378728196</v>
      </c>
      <c r="E65" s="60">
        <f t="shared" si="14"/>
        <v>1.9703950593079116</v>
      </c>
      <c r="F65" s="60">
        <f t="shared" si="14"/>
        <v>1.9558834235239704</v>
      </c>
      <c r="G65" s="60">
        <f t="shared" si="14"/>
        <v>1.9415609381007302</v>
      </c>
      <c r="H65" s="60">
        <f t="shared" si="14"/>
        <v>1.9274241522903004</v>
      </c>
      <c r="I65" s="60">
        <f t="shared" si="14"/>
        <v>1.91346969554152</v>
      </c>
      <c r="J65" s="60">
        <f t="shared" si="14"/>
        <v>1.8996942752456267</v>
      </c>
      <c r="K65" s="60">
        <f t="shared" si="14"/>
        <v>1.8860946745562153</v>
      </c>
      <c r="L65" s="60">
        <f t="shared" si="14"/>
        <v>1.8726677502804385</v>
      </c>
      <c r="M65" s="60">
        <f t="shared" si="14"/>
        <v>1.859410430839003</v>
      </c>
      <c r="N65" s="60">
        <f t="shared" si="14"/>
        <v>1.8463197142921308</v>
      </c>
      <c r="O65" s="60">
        <f t="shared" si="14"/>
        <v>1.8333926664293365</v>
      </c>
      <c r="P65" s="60">
        <f t="shared" si="14"/>
        <v>1.820626418920406</v>
      </c>
      <c r="Q65" s="60">
        <f t="shared" si="14"/>
        <v>1.8080181675255482</v>
      </c>
      <c r="R65" s="60">
        <f t="shared" si="14"/>
        <v>1.7955651703623572</v>
      </c>
      <c r="S65" s="60">
        <f t="shared" si="14"/>
        <v>1.7832647462277103</v>
      </c>
      <c r="T65" s="60">
        <f t="shared" si="14"/>
        <v>1.771114272972456</v>
      </c>
      <c r="U65" s="60">
        <f t="shared" si="15"/>
        <v>1.7591111859271116</v>
      </c>
      <c r="V65" s="60">
        <f t="shared" si="15"/>
        <v>1.7472529763766396</v>
      </c>
      <c r="W65" s="60">
        <f t="shared" si="15"/>
        <v>1.735537190082646</v>
      </c>
      <c r="X65" s="60">
        <f t="shared" si="15"/>
        <v>1.723961425851232</v>
      </c>
      <c r="Y65" s="60">
        <f t="shared" si="15"/>
        <v>1.7125233341449568</v>
      </c>
      <c r="Z65" s="60">
        <f t="shared" si="15"/>
        <v>1.7012206157372962</v>
      </c>
      <c r="AA65" s="60">
        <f t="shared" si="15"/>
        <v>1.6900510204081642</v>
      </c>
      <c r="AB65" s="61">
        <f t="shared" si="16"/>
        <v>2</v>
      </c>
    </row>
    <row r="66" spans="3:28" ht="12.75">
      <c r="C66" s="59">
        <v>3</v>
      </c>
      <c r="D66" s="60">
        <f t="shared" si="13"/>
        <v>2.970248138037988</v>
      </c>
      <c r="E66" s="60">
        <f t="shared" si="14"/>
        <v>2.940985207235547</v>
      </c>
      <c r="F66" s="60">
        <f t="shared" si="14"/>
        <v>2.9122004172649882</v>
      </c>
      <c r="G66" s="60">
        <f t="shared" si="14"/>
        <v>2.883883272647772</v>
      </c>
      <c r="H66" s="60">
        <f t="shared" si="14"/>
        <v>2.856023563210048</v>
      </c>
      <c r="I66" s="60">
        <f t="shared" si="14"/>
        <v>2.828611354894681</v>
      </c>
      <c r="J66" s="60">
        <f t="shared" si="14"/>
        <v>2.8016369809136457</v>
      </c>
      <c r="K66" s="60">
        <f t="shared" si="14"/>
        <v>2.7750910332271297</v>
      </c>
      <c r="L66" s="60">
        <f t="shared" si="14"/>
        <v>2.7489643543353486</v>
      </c>
      <c r="M66" s="60">
        <f t="shared" si="14"/>
        <v>2.72324802937048</v>
      </c>
      <c r="N66" s="60">
        <f t="shared" si="14"/>
        <v>2.697933378475952</v>
      </c>
      <c r="O66" s="60">
        <f t="shared" si="14"/>
        <v>2.67301194946164</v>
      </c>
      <c r="P66" s="60">
        <f t="shared" si="14"/>
        <v>2.648475510723385</v>
      </c>
      <c r="Q66" s="60">
        <f t="shared" si="14"/>
        <v>2.6243160444164007</v>
      </c>
      <c r="R66" s="60">
        <f t="shared" si="14"/>
        <v>2.60052573987196</v>
      </c>
      <c r="S66" s="60">
        <f t="shared" si="14"/>
        <v>2.5770969872478804</v>
      </c>
      <c r="T66" s="60">
        <f t="shared" si="14"/>
        <v>2.5540223714031853</v>
      </c>
      <c r="U66" s="60">
        <f t="shared" si="15"/>
        <v>2.531294665988176</v>
      </c>
      <c r="V66" s="60">
        <f t="shared" si="15"/>
        <v>2.5089068277412228</v>
      </c>
      <c r="W66" s="60">
        <f t="shared" si="15"/>
        <v>2.4868519909842246</v>
      </c>
      <c r="X66" s="60">
        <f t="shared" si="15"/>
        <v>2.4651234623088065</v>
      </c>
      <c r="Y66" s="60">
        <f t="shared" si="15"/>
        <v>2.4437147154459073</v>
      </c>
      <c r="Z66" s="60">
        <f t="shared" si="15"/>
        <v>2.4226193863114767</v>
      </c>
      <c r="AA66" s="60">
        <f t="shared" si="15"/>
        <v>2.401831268221576</v>
      </c>
      <c r="AB66" s="61">
        <f t="shared" si="16"/>
        <v>3</v>
      </c>
    </row>
    <row r="67" spans="3:28" ht="12.75">
      <c r="C67" s="59">
        <v>4</v>
      </c>
      <c r="D67" s="60">
        <f t="shared" si="13"/>
        <v>3.9504956597392367</v>
      </c>
      <c r="E67" s="60">
        <f t="shared" si="14"/>
        <v>3.901965551718374</v>
      </c>
      <c r="F67" s="60">
        <f t="shared" si="14"/>
        <v>3.854384647551703</v>
      </c>
      <c r="G67" s="60">
        <f t="shared" si="14"/>
        <v>3.8077286986742878</v>
      </c>
      <c r="H67" s="60">
        <f t="shared" si="14"/>
        <v>3.761974208009799</v>
      </c>
      <c r="I67" s="60">
        <f t="shared" si="14"/>
        <v>3.717098402810368</v>
      </c>
      <c r="J67" s="60">
        <f t="shared" si="14"/>
        <v>3.673079208612217</v>
      </c>
      <c r="K67" s="60">
        <f t="shared" si="14"/>
        <v>3.6298952242568574</v>
      </c>
      <c r="L67" s="60">
        <f t="shared" si="14"/>
        <v>3.587525697928558</v>
      </c>
      <c r="M67" s="60">
        <f t="shared" si="14"/>
        <v>3.5459505041623607</v>
      </c>
      <c r="N67" s="60">
        <f t="shared" si="14"/>
        <v>3.5051501217781538</v>
      </c>
      <c r="O67" s="60">
        <f t="shared" si="14"/>
        <v>3.4651056126996607</v>
      </c>
      <c r="P67" s="60">
        <f t="shared" si="14"/>
        <v>3.4257986016182005</v>
      </c>
      <c r="Q67" s="60">
        <f t="shared" si="14"/>
        <v>3.387211256463925</v>
      </c>
      <c r="R67" s="60">
        <f t="shared" si="14"/>
        <v>3.3493262696483352</v>
      </c>
      <c r="S67" s="60">
        <f t="shared" si="14"/>
        <v>3.312126840044334</v>
      </c>
      <c r="T67" s="60">
        <f t="shared" si="14"/>
        <v>3.2755966556711376</v>
      </c>
      <c r="U67" s="60">
        <f t="shared" si="15"/>
        <v>3.239719877053373</v>
      </c>
      <c r="V67" s="60">
        <f t="shared" si="15"/>
        <v>3.204481121224861</v>
      </c>
      <c r="W67" s="60">
        <f t="shared" si="15"/>
        <v>3.1698654463492946</v>
      </c>
      <c r="X67" s="60">
        <f t="shared" si="15"/>
        <v>3.1358583369310473</v>
      </c>
      <c r="Y67" s="60">
        <f t="shared" si="15"/>
        <v>3.1024456895909083</v>
      </c>
      <c r="Z67" s="60">
        <f t="shared" si="15"/>
        <v>3.0696137993824903</v>
      </c>
      <c r="AA67" s="60">
        <f t="shared" si="15"/>
        <v>3.037349346626407</v>
      </c>
      <c r="AB67" s="61">
        <f t="shared" si="16"/>
        <v>4</v>
      </c>
    </row>
    <row r="68" spans="3:28" ht="13.5" thickBot="1">
      <c r="C68" s="72">
        <v>5</v>
      </c>
      <c r="D68" s="73">
        <f t="shared" si="13"/>
        <v>4.9258663280987065</v>
      </c>
      <c r="E68" s="73">
        <f t="shared" si="14"/>
        <v>4.853431239325114</v>
      </c>
      <c r="F68" s="73">
        <f t="shared" si="14"/>
        <v>4.782644972957335</v>
      </c>
      <c r="G68" s="73">
        <f t="shared" si="14"/>
        <v>4.713459508504206</v>
      </c>
      <c r="H68" s="73">
        <f t="shared" si="14"/>
        <v>4.645828495619313</v>
      </c>
      <c r="I68" s="73">
        <f t="shared" si="14"/>
        <v>4.57970718719453</v>
      </c>
      <c r="J68" s="73">
        <f t="shared" si="14"/>
        <v>4.515052375470738</v>
      </c>
      <c r="K68" s="73">
        <f t="shared" si="14"/>
        <v>4.451822331016211</v>
      </c>
      <c r="L68" s="73">
        <f t="shared" si="14"/>
        <v>4.389976744429242</v>
      </c>
      <c r="M68" s="73">
        <f t="shared" si="14"/>
        <v>4.329476670630821</v>
      </c>
      <c r="N68" s="73">
        <f t="shared" si="14"/>
        <v>4.270284475619102</v>
      </c>
      <c r="O68" s="73">
        <f t="shared" si="14"/>
        <v>4.212363785565719</v>
      </c>
      <c r="P68" s="73">
        <f t="shared" si="14"/>
        <v>4.155679438139156</v>
      </c>
      <c r="Q68" s="73">
        <f t="shared" si="14"/>
        <v>4.100197435947595</v>
      </c>
      <c r="R68" s="73">
        <f t="shared" si="14"/>
        <v>4.045884901998451</v>
      </c>
      <c r="S68" s="73">
        <f t="shared" si="14"/>
        <v>3.9927100370780875</v>
      </c>
      <c r="T68" s="73">
        <f t="shared" si="14"/>
        <v>3.9406420789595735</v>
      </c>
      <c r="U68" s="73">
        <f t="shared" si="15"/>
        <v>3.8896512633517193</v>
      </c>
      <c r="V68" s="73">
        <f t="shared" si="15"/>
        <v>3.8397087865067223</v>
      </c>
      <c r="W68" s="73">
        <f t="shared" si="15"/>
        <v>3.7907867694084505</v>
      </c>
      <c r="X68" s="73">
        <f t="shared" si="15"/>
        <v>3.7428582234670116</v>
      </c>
      <c r="Y68" s="73">
        <f t="shared" si="15"/>
        <v>3.6958970176494668</v>
      </c>
      <c r="Z68" s="73">
        <f t="shared" si="15"/>
        <v>3.649877846979812</v>
      </c>
      <c r="AA68" s="73">
        <f t="shared" si="15"/>
        <v>3.6047762023450067</v>
      </c>
      <c r="AB68" s="74">
        <f t="shared" si="16"/>
        <v>5</v>
      </c>
    </row>
    <row r="69" spans="3:28" ht="13.5" thickTop="1">
      <c r="C69" s="59">
        <v>6</v>
      </c>
      <c r="D69" s="60">
        <f t="shared" si="13"/>
        <v>5.896384406068332</v>
      </c>
      <c r="E69" s="60">
        <f t="shared" si="14"/>
        <v>5.795476474579339</v>
      </c>
      <c r="F69" s="60">
        <f t="shared" si="14"/>
        <v>5.697187165475195</v>
      </c>
      <c r="G69" s="60">
        <f t="shared" si="14"/>
        <v>5.601430890690399</v>
      </c>
      <c r="H69" s="60">
        <f t="shared" si="14"/>
        <v>5.508125361579815</v>
      </c>
      <c r="I69" s="60">
        <f t="shared" si="14"/>
        <v>5.4171914438781865</v>
      </c>
      <c r="J69" s="60">
        <f t="shared" si="14"/>
        <v>5.328553019778491</v>
      </c>
      <c r="K69" s="60">
        <f t="shared" si="14"/>
        <v>5.242136856746357</v>
      </c>
      <c r="L69" s="60">
        <f t="shared" si="14"/>
        <v>5.157872482707405</v>
      </c>
      <c r="M69" s="60">
        <f t="shared" si="14"/>
        <v>5.075692067267447</v>
      </c>
      <c r="N69" s="60">
        <f t="shared" si="14"/>
        <v>4.995530308643698</v>
      </c>
      <c r="O69" s="60">
        <f t="shared" si="14"/>
        <v>4.917324326005395</v>
      </c>
      <c r="P69" s="60">
        <f t="shared" si="14"/>
        <v>4.841013556938173</v>
      </c>
      <c r="Q69" s="60">
        <f t="shared" si="14"/>
        <v>4.766539659764106</v>
      </c>
      <c r="R69" s="60">
        <f t="shared" si="14"/>
        <v>4.693846420463674</v>
      </c>
      <c r="S69" s="60">
        <f t="shared" si="14"/>
        <v>4.622879663961193</v>
      </c>
      <c r="T69" s="60">
        <f t="shared" si="14"/>
        <v>4.553587169547994</v>
      </c>
      <c r="U69" s="60">
        <f t="shared" si="15"/>
        <v>4.485918590230935</v>
      </c>
      <c r="V69" s="60">
        <f t="shared" si="15"/>
        <v>4.419825375805226</v>
      </c>
      <c r="W69" s="60">
        <f t="shared" si="15"/>
        <v>4.355260699462228</v>
      </c>
      <c r="X69" s="60">
        <f t="shared" si="15"/>
        <v>4.2921793877529515</v>
      </c>
      <c r="Y69" s="60">
        <f t="shared" si="15"/>
        <v>4.230537853738259</v>
      </c>
      <c r="Z69" s="60">
        <f t="shared" si="15"/>
        <v>4.170294033165751</v>
      </c>
      <c r="AA69" s="60">
        <f t="shared" si="15"/>
        <v>4.111407323522328</v>
      </c>
      <c r="AB69" s="61">
        <f t="shared" si="16"/>
        <v>6</v>
      </c>
    </row>
    <row r="70" spans="3:28" ht="12.75">
      <c r="C70" s="59">
        <v>7</v>
      </c>
      <c r="D70" s="60">
        <f t="shared" si="13"/>
        <v>6.862074035888868</v>
      </c>
      <c r="E70" s="60">
        <f t="shared" si="14"/>
        <v>6.728194529286448</v>
      </c>
      <c r="F70" s="60">
        <f t="shared" si="14"/>
        <v>6.598213956133188</v>
      </c>
      <c r="G70" s="60">
        <f t="shared" si="14"/>
        <v>6.471991069304304</v>
      </c>
      <c r="H70" s="60">
        <f t="shared" si="14"/>
        <v>6.349390596663236</v>
      </c>
      <c r="I70" s="60">
        <f t="shared" si="14"/>
        <v>6.230282955221542</v>
      </c>
      <c r="J70" s="60">
        <f t="shared" si="14"/>
        <v>6.114543980462309</v>
      </c>
      <c r="K70" s="60">
        <f t="shared" si="14"/>
        <v>6.002054669948419</v>
      </c>
      <c r="L70" s="60">
        <f t="shared" si="14"/>
        <v>5.892700940389862</v>
      </c>
      <c r="M70" s="60">
        <f t="shared" si="14"/>
        <v>5.786373397397571</v>
      </c>
      <c r="N70" s="60">
        <f t="shared" si="14"/>
        <v>5.682967117197817</v>
      </c>
      <c r="O70" s="60">
        <f t="shared" si="14"/>
        <v>5.582381439627733</v>
      </c>
      <c r="P70" s="60">
        <f t="shared" si="14"/>
        <v>5.484519771772931</v>
      </c>
      <c r="Q70" s="60">
        <f t="shared" si="14"/>
        <v>5.389289401648698</v>
      </c>
      <c r="R70" s="60">
        <f t="shared" si="14"/>
        <v>5.296601321361559</v>
      </c>
      <c r="S70" s="60">
        <f t="shared" si="14"/>
        <v>5.206370059223327</v>
      </c>
      <c r="T70" s="60">
        <f t="shared" si="14"/>
        <v>5.1185135203207315</v>
      </c>
      <c r="U70" s="60">
        <f t="shared" si="15"/>
        <v>5.032952835074253</v>
      </c>
      <c r="V70" s="60">
        <f t="shared" si="15"/>
        <v>4.949612215347239</v>
      </c>
      <c r="W70" s="60">
        <f t="shared" si="15"/>
        <v>4.868418817692935</v>
      </c>
      <c r="X70" s="60">
        <f t="shared" si="15"/>
        <v>4.789302613351087</v>
      </c>
      <c r="Y70" s="60">
        <f t="shared" si="15"/>
        <v>4.712196264629061</v>
      </c>
      <c r="Z70" s="60">
        <f t="shared" si="15"/>
        <v>4.637035007323543</v>
      </c>
      <c r="AA70" s="60">
        <f t="shared" si="15"/>
        <v>4.563756538859221</v>
      </c>
      <c r="AB70" s="61">
        <f t="shared" si="16"/>
        <v>7</v>
      </c>
    </row>
    <row r="71" spans="3:28" ht="12.75">
      <c r="C71" s="59">
        <v>8</v>
      </c>
      <c r="D71" s="60">
        <f t="shared" si="13"/>
        <v>7.822959239690399</v>
      </c>
      <c r="E71" s="60">
        <f t="shared" si="14"/>
        <v>7.651677751768785</v>
      </c>
      <c r="F71" s="60">
        <f t="shared" si="14"/>
        <v>7.48592507993417</v>
      </c>
      <c r="G71" s="60">
        <f t="shared" si="14"/>
        <v>7.3254814404944195</v>
      </c>
      <c r="H71" s="60">
        <f t="shared" si="14"/>
        <v>7.170137167476325</v>
      </c>
      <c r="I71" s="60">
        <f t="shared" si="14"/>
        <v>7.0196921895354745</v>
      </c>
      <c r="J71" s="60">
        <f t="shared" si="14"/>
        <v>6.873955536678555</v>
      </c>
      <c r="K71" s="60">
        <f t="shared" si="14"/>
        <v>6.732744874950405</v>
      </c>
      <c r="L71" s="60">
        <f t="shared" si="14"/>
        <v>6.595886067358714</v>
      </c>
      <c r="M71" s="60">
        <f t="shared" si="14"/>
        <v>6.463212759426256</v>
      </c>
      <c r="N71" s="60">
        <f t="shared" si="14"/>
        <v>6.33456598786523</v>
      </c>
      <c r="O71" s="60">
        <f t="shared" si="14"/>
        <v>6.209793810969559</v>
      </c>
      <c r="P71" s="60">
        <f t="shared" si="14"/>
        <v>6.088750959411202</v>
      </c>
      <c r="Q71" s="60">
        <f t="shared" si="14"/>
        <v>5.971298506213736</v>
      </c>
      <c r="R71" s="60">
        <f t="shared" si="14"/>
        <v>5.857303554754938</v>
      </c>
      <c r="S71" s="60">
        <f t="shared" si="14"/>
        <v>5.746638943725303</v>
      </c>
      <c r="T71" s="60">
        <f t="shared" si="14"/>
        <v>5.63918296803754</v>
      </c>
      <c r="U71" s="60">
        <f t="shared" si="15"/>
        <v>5.534819114747021</v>
      </c>
      <c r="V71" s="60">
        <f t="shared" si="15"/>
        <v>5.433435813102501</v>
      </c>
      <c r="W71" s="60">
        <f t="shared" si="15"/>
        <v>5.334926197902668</v>
      </c>
      <c r="X71" s="60">
        <f t="shared" si="15"/>
        <v>5.239187885385599</v>
      </c>
      <c r="Y71" s="60">
        <f t="shared" si="15"/>
        <v>5.146122760927083</v>
      </c>
      <c r="Z71" s="60">
        <f t="shared" si="15"/>
        <v>5.055636777868649</v>
      </c>
      <c r="AA71" s="60">
        <f t="shared" si="15"/>
        <v>4.967639766838591</v>
      </c>
      <c r="AB71" s="61">
        <f t="shared" si="16"/>
        <v>8</v>
      </c>
    </row>
    <row r="72" spans="3:28" ht="12.75">
      <c r="C72" s="59">
        <v>9</v>
      </c>
      <c r="D72" s="60">
        <f t="shared" si="13"/>
        <v>8.77906392008994</v>
      </c>
      <c r="E72" s="60">
        <f t="shared" si="14"/>
        <v>8.566017576008706</v>
      </c>
      <c r="F72" s="60">
        <f t="shared" si="14"/>
        <v>8.36051732013218</v>
      </c>
      <c r="G72" s="60">
        <f t="shared" si="14"/>
        <v>8.162236706367079</v>
      </c>
      <c r="H72" s="60">
        <f t="shared" si="14"/>
        <v>7.97086552924519</v>
      </c>
      <c r="I72" s="60">
        <f t="shared" si="14"/>
        <v>7.786108921879102</v>
      </c>
      <c r="J72" s="60">
        <f t="shared" si="14"/>
        <v>7.607686508868166</v>
      </c>
      <c r="K72" s="60">
        <f t="shared" si="14"/>
        <v>7.4353316105292375</v>
      </c>
      <c r="L72" s="60">
        <f t="shared" si="14"/>
        <v>7.2687904950801085</v>
      </c>
      <c r="M72" s="60">
        <f t="shared" si="14"/>
        <v>7.107821675644054</v>
      </c>
      <c r="N72" s="60">
        <f t="shared" si="14"/>
        <v>6.952195249161355</v>
      </c>
      <c r="O72" s="60">
        <f t="shared" si="14"/>
        <v>6.801692274499583</v>
      </c>
      <c r="P72" s="60">
        <f t="shared" si="14"/>
        <v>6.656104187240565</v>
      </c>
      <c r="Q72" s="60">
        <f t="shared" si="14"/>
        <v>6.5152322487978855</v>
      </c>
      <c r="R72" s="60">
        <f t="shared" si="14"/>
        <v>6.378887027679012</v>
      </c>
      <c r="S72" s="60">
        <f t="shared" si="14"/>
        <v>6.2468879108567625</v>
      </c>
      <c r="T72" s="60">
        <f t="shared" si="14"/>
        <v>6.119062643352571</v>
      </c>
      <c r="U72" s="60">
        <f t="shared" si="15"/>
        <v>5.995246894263323</v>
      </c>
      <c r="V72" s="60">
        <f t="shared" si="15"/>
        <v>5.8752838475821925</v>
      </c>
      <c r="W72" s="60">
        <f t="shared" si="15"/>
        <v>5.759023816275153</v>
      </c>
      <c r="X72" s="60">
        <f t="shared" si="15"/>
        <v>5.646323878177013</v>
      </c>
      <c r="Y72" s="60">
        <f t="shared" si="15"/>
        <v>5.537047532366743</v>
      </c>
      <c r="Z72" s="60">
        <f t="shared" si="15"/>
        <v>5.431064374770089</v>
      </c>
      <c r="AA72" s="60">
        <f t="shared" si="15"/>
        <v>5.328249791820171</v>
      </c>
      <c r="AB72" s="61">
        <f t="shared" si="16"/>
        <v>9</v>
      </c>
    </row>
    <row r="73" spans="3:28" ht="13.5" thickBot="1">
      <c r="C73" s="72">
        <v>10</v>
      </c>
      <c r="D73" s="73">
        <f t="shared" si="13"/>
        <v>9.730411860785976</v>
      </c>
      <c r="E73" s="73">
        <f t="shared" si="14"/>
        <v>9.47130453070169</v>
      </c>
      <c r="F73" s="73">
        <f t="shared" si="14"/>
        <v>9.222184551854358</v>
      </c>
      <c r="G73" s="73">
        <f t="shared" si="14"/>
        <v>8.982585006242235</v>
      </c>
      <c r="H73" s="73">
        <f t="shared" si="14"/>
        <v>8.752063930970918</v>
      </c>
      <c r="I73" s="73">
        <f t="shared" si="14"/>
        <v>8.530202836775828</v>
      </c>
      <c r="J73" s="73">
        <f t="shared" si="14"/>
        <v>8.316605322577937</v>
      </c>
      <c r="K73" s="73">
        <f t="shared" si="14"/>
        <v>8.110895779355035</v>
      </c>
      <c r="L73" s="73">
        <f t="shared" si="14"/>
        <v>7.91271817711015</v>
      </c>
      <c r="M73" s="73">
        <f t="shared" si="14"/>
        <v>7.721734929184813</v>
      </c>
      <c r="N73" s="73">
        <f t="shared" si="14"/>
        <v>7.537625828588962</v>
      </c>
      <c r="O73" s="73">
        <f t="shared" si="14"/>
        <v>7.360087051414702</v>
      </c>
      <c r="P73" s="73">
        <f t="shared" si="14"/>
        <v>7.188830222761093</v>
      </c>
      <c r="Q73" s="73">
        <f t="shared" si="14"/>
        <v>7.023581540932603</v>
      </c>
      <c r="R73" s="73">
        <f t="shared" si="14"/>
        <v>6.864080955980475</v>
      </c>
      <c r="S73" s="73">
        <f t="shared" si="14"/>
        <v>6.710081398941447</v>
      </c>
      <c r="T73" s="73">
        <f t="shared" si="14"/>
        <v>6.561348058389466</v>
      </c>
      <c r="U73" s="73">
        <f t="shared" si="15"/>
        <v>6.417657701159013</v>
      </c>
      <c r="V73" s="73">
        <f t="shared" si="15"/>
        <v>6.278798034321637</v>
      </c>
      <c r="W73" s="73">
        <f t="shared" si="15"/>
        <v>6.144567105704685</v>
      </c>
      <c r="X73" s="73">
        <f t="shared" si="15"/>
        <v>6.014772740431687</v>
      </c>
      <c r="Y73" s="73">
        <f t="shared" si="15"/>
        <v>5.8892320111412095</v>
      </c>
      <c r="Z73" s="73">
        <f t="shared" si="15"/>
        <v>5.767770739704116</v>
      </c>
      <c r="AA73" s="73">
        <f t="shared" si="15"/>
        <v>5.650223028410867</v>
      </c>
      <c r="AB73" s="74">
        <f t="shared" si="16"/>
        <v>10</v>
      </c>
    </row>
    <row r="74" spans="3:28" ht="13.5" thickTop="1">
      <c r="C74" s="59">
        <v>11</v>
      </c>
      <c r="D74" s="60">
        <f t="shared" si="13"/>
        <v>10.67702672715021</v>
      </c>
      <c r="E74" s="60">
        <f t="shared" si="14"/>
        <v>10.367628248219475</v>
      </c>
      <c r="F74" s="60">
        <f t="shared" si="14"/>
        <v>10.07111778507818</v>
      </c>
      <c r="G74" s="60">
        <f t="shared" si="14"/>
        <v>9.786848045335518</v>
      </c>
      <c r="H74" s="60">
        <f t="shared" si="14"/>
        <v>9.514208713142358</v>
      </c>
      <c r="I74" s="60">
        <f t="shared" si="14"/>
        <v>9.25262411337459</v>
      </c>
      <c r="J74" s="60">
        <f t="shared" si="14"/>
        <v>9.001551036307186</v>
      </c>
      <c r="K74" s="60">
        <f t="shared" si="14"/>
        <v>8.760476710918303</v>
      </c>
      <c r="L74" s="60">
        <f t="shared" si="14"/>
        <v>8.52891691589488</v>
      </c>
      <c r="M74" s="60">
        <f t="shared" si="14"/>
        <v>8.306414218271252</v>
      </c>
      <c r="N74" s="60">
        <f t="shared" si="14"/>
        <v>8.092536330416076</v>
      </c>
      <c r="O74" s="60">
        <f t="shared" si="14"/>
        <v>7.886874576806324</v>
      </c>
      <c r="P74" s="60">
        <f t="shared" si="14"/>
        <v>7.689042462686471</v>
      </c>
      <c r="Q74" s="60">
        <f t="shared" si="14"/>
        <v>7.49867433732019</v>
      </c>
      <c r="R74" s="60">
        <f t="shared" si="14"/>
        <v>7.315424145098118</v>
      </c>
      <c r="S74" s="60">
        <f t="shared" si="14"/>
        <v>7.138964258279117</v>
      </c>
      <c r="T74" s="60">
        <f t="shared" si="14"/>
        <v>6.968984385612411</v>
      </c>
      <c r="U74" s="60">
        <f t="shared" si="15"/>
        <v>6.8051905515220295</v>
      </c>
      <c r="V74" s="60">
        <f t="shared" si="15"/>
        <v>6.647304140933002</v>
      </c>
      <c r="W74" s="60">
        <f t="shared" si="15"/>
        <v>6.495061005186078</v>
      </c>
      <c r="X74" s="60">
        <f t="shared" si="15"/>
        <v>6.348210624825055</v>
      </c>
      <c r="Y74" s="60">
        <f t="shared" si="15"/>
        <v>6.206515325352441</v>
      </c>
      <c r="Z74" s="60">
        <f t="shared" si="15"/>
        <v>6.069749542335529</v>
      </c>
      <c r="AA74" s="60">
        <f t="shared" si="15"/>
        <v>5.937699132509703</v>
      </c>
      <c r="AB74" s="61">
        <f t="shared" si="16"/>
        <v>11</v>
      </c>
    </row>
    <row r="75" spans="3:28" ht="12.75">
      <c r="C75" s="59">
        <v>12</v>
      </c>
      <c r="D75" s="60">
        <f t="shared" si="13"/>
        <v>11.618932066816063</v>
      </c>
      <c r="E75" s="60">
        <f t="shared" si="14"/>
        <v>11.255077473484633</v>
      </c>
      <c r="F75" s="60">
        <f t="shared" si="14"/>
        <v>10.907505206973562</v>
      </c>
      <c r="G75" s="60">
        <f t="shared" si="14"/>
        <v>10.57534122091718</v>
      </c>
      <c r="H75" s="60">
        <f t="shared" si="14"/>
        <v>10.257764598187663</v>
      </c>
      <c r="I75" s="60">
        <f t="shared" si="14"/>
        <v>9.954003993567559</v>
      </c>
      <c r="J75" s="60">
        <f t="shared" si="14"/>
        <v>9.663334334596314</v>
      </c>
      <c r="K75" s="60">
        <f t="shared" si="14"/>
        <v>9.385073760498372</v>
      </c>
      <c r="L75" s="60">
        <f t="shared" si="14"/>
        <v>9.118580780760649</v>
      </c>
      <c r="M75" s="60">
        <f t="shared" si="14"/>
        <v>8.86325163644881</v>
      </c>
      <c r="N75" s="60">
        <f t="shared" si="14"/>
        <v>8.618517848735618</v>
      </c>
      <c r="O75" s="60">
        <f t="shared" si="14"/>
        <v>8.383843940383326</v>
      </c>
      <c r="P75" s="60">
        <f t="shared" si="14"/>
        <v>8.158725317076499</v>
      </c>
      <c r="Q75" s="60">
        <f t="shared" si="14"/>
        <v>7.9426862965609235</v>
      </c>
      <c r="R75" s="60">
        <f t="shared" si="14"/>
        <v>7.735278274509875</v>
      </c>
      <c r="S75" s="60">
        <f t="shared" si="14"/>
        <v>7.536078016925109</v>
      </c>
      <c r="T75" s="60">
        <f t="shared" si="14"/>
        <v>7.344686069688858</v>
      </c>
      <c r="U75" s="60">
        <f t="shared" si="15"/>
        <v>7.1607252766257155</v>
      </c>
      <c r="V75" s="60">
        <f t="shared" si="15"/>
        <v>6.983839398112331</v>
      </c>
      <c r="W75" s="60">
        <f t="shared" si="15"/>
        <v>6.813691822896434</v>
      </c>
      <c r="X75" s="60">
        <f t="shared" si="15"/>
        <v>6.6499643663575165</v>
      </c>
      <c r="Y75" s="60">
        <f t="shared" si="15"/>
        <v>6.492356148966164</v>
      </c>
      <c r="Z75" s="60">
        <f t="shared" si="15"/>
        <v>6.340582549179847</v>
      </c>
      <c r="AA75" s="60">
        <f t="shared" si="15"/>
        <v>6.194374225455092</v>
      </c>
      <c r="AB75" s="61">
        <f t="shared" si="16"/>
        <v>12</v>
      </c>
    </row>
    <row r="76" spans="3:28" ht="12.75">
      <c r="C76" s="59">
        <v>13</v>
      </c>
      <c r="D76" s="60">
        <f t="shared" si="13"/>
        <v>12.556151310264724</v>
      </c>
      <c r="E76" s="60">
        <f t="shared" si="14"/>
        <v>12.133740072757066</v>
      </c>
      <c r="F76" s="60">
        <f t="shared" si="14"/>
        <v>11.73153222361927</v>
      </c>
      <c r="G76" s="60">
        <f t="shared" si="14"/>
        <v>11.348373745997234</v>
      </c>
      <c r="H76" s="60">
        <f t="shared" si="14"/>
        <v>10.983184973841622</v>
      </c>
      <c r="I76" s="60">
        <f t="shared" si="14"/>
        <v>10.634955333560738</v>
      </c>
      <c r="J76" s="60">
        <f t="shared" si="14"/>
        <v>10.302738487532666</v>
      </c>
      <c r="K76" s="60">
        <f t="shared" si="14"/>
        <v>9.985647846633048</v>
      </c>
      <c r="L76" s="60">
        <f t="shared" si="14"/>
        <v>9.682852421780526</v>
      </c>
      <c r="M76" s="60">
        <f t="shared" si="14"/>
        <v>9.393572987094107</v>
      </c>
      <c r="N76" s="60">
        <f t="shared" si="14"/>
        <v>9.11707852960722</v>
      </c>
      <c r="O76" s="60">
        <f t="shared" si="14"/>
        <v>8.85268296262578</v>
      </c>
      <c r="P76" s="60">
        <f t="shared" si="14"/>
        <v>8.59974208176197</v>
      </c>
      <c r="Q76" s="60">
        <f t="shared" si="14"/>
        <v>8.357650744449462</v>
      </c>
      <c r="R76" s="60">
        <f t="shared" si="14"/>
        <v>8.125840255358025</v>
      </c>
      <c r="S76" s="60">
        <f t="shared" si="14"/>
        <v>7.903775941597323</v>
      </c>
      <c r="T76" s="60">
        <f t="shared" si="14"/>
        <v>7.69095490293904</v>
      </c>
      <c r="U76" s="60">
        <f t="shared" si="15"/>
        <v>7.486903923509831</v>
      </c>
      <c r="V76" s="60">
        <f t="shared" si="15"/>
        <v>7.291177532522676</v>
      </c>
      <c r="W76" s="60">
        <f t="shared" si="15"/>
        <v>7.103356202633122</v>
      </c>
      <c r="X76" s="60">
        <f t="shared" si="15"/>
        <v>6.923044675436667</v>
      </c>
      <c r="Y76" s="60">
        <f t="shared" si="15"/>
        <v>6.749870404474022</v>
      </c>
      <c r="Z76" s="60">
        <f t="shared" si="15"/>
        <v>6.583482106887756</v>
      </c>
      <c r="AA76" s="60">
        <f t="shared" si="15"/>
        <v>6.423548415584904</v>
      </c>
      <c r="AB76" s="61">
        <f t="shared" si="16"/>
        <v>13</v>
      </c>
    </row>
    <row r="77" spans="3:28" ht="12.75">
      <c r="C77" s="59">
        <v>14</v>
      </c>
      <c r="D77" s="60">
        <f t="shared" si="13"/>
        <v>13.488707771407652</v>
      </c>
      <c r="E77" s="60">
        <f t="shared" si="14"/>
        <v>13.00370304233374</v>
      </c>
      <c r="F77" s="60">
        <f t="shared" si="14"/>
        <v>12.543381501102717</v>
      </c>
      <c r="G77" s="60">
        <f t="shared" si="14"/>
        <v>12.106248770585527</v>
      </c>
      <c r="H77" s="60">
        <f t="shared" si="14"/>
        <v>11.690912169601578</v>
      </c>
      <c r="I77" s="60">
        <f t="shared" si="14"/>
        <v>11.296073139379358</v>
      </c>
      <c r="J77" s="60">
        <f t="shared" si="14"/>
        <v>10.92052027780934</v>
      </c>
      <c r="K77" s="60">
        <f t="shared" si="14"/>
        <v>10.563122929454854</v>
      </c>
      <c r="L77" s="60">
        <f t="shared" si="14"/>
        <v>10.2228252840005</v>
      </c>
      <c r="M77" s="60">
        <f t="shared" si="14"/>
        <v>9.898640940089622</v>
      </c>
      <c r="N77" s="60">
        <f t="shared" si="14"/>
        <v>9.589647895362294</v>
      </c>
      <c r="O77" s="60">
        <f t="shared" si="14"/>
        <v>9.294983927005452</v>
      </c>
      <c r="P77" s="60">
        <f t="shared" si="14"/>
        <v>9.01384233029293</v>
      </c>
      <c r="Q77" s="60">
        <f t="shared" si="14"/>
        <v>8.745467985466787</v>
      </c>
      <c r="R77" s="60">
        <f t="shared" si="14"/>
        <v>8.489153725914441</v>
      </c>
      <c r="S77" s="60">
        <f t="shared" si="14"/>
        <v>8.244236982960485</v>
      </c>
      <c r="T77" s="60">
        <f t="shared" si="14"/>
        <v>8.01009668473644</v>
      </c>
      <c r="U77" s="60">
        <f t="shared" si="15"/>
        <v>7.786150388541129</v>
      </c>
      <c r="V77" s="60">
        <f t="shared" si="15"/>
        <v>7.57185162787459</v>
      </c>
      <c r="W77" s="60">
        <f t="shared" si="15"/>
        <v>7.366687456939203</v>
      </c>
      <c r="X77" s="60">
        <f t="shared" si="15"/>
        <v>7.170176176865762</v>
      </c>
      <c r="Y77" s="60">
        <f t="shared" si="15"/>
        <v>6.981865229255876</v>
      </c>
      <c r="Z77" s="60">
        <f t="shared" si="15"/>
        <v>6.801329243845521</v>
      </c>
      <c r="AA77" s="60">
        <f t="shared" si="15"/>
        <v>6.628168228200807</v>
      </c>
      <c r="AB77" s="61">
        <f t="shared" si="16"/>
        <v>14</v>
      </c>
    </row>
    <row r="78" spans="3:28" ht="13.5" thickBot="1">
      <c r="C78" s="72">
        <v>15</v>
      </c>
      <c r="D78" s="73">
        <f t="shared" si="13"/>
        <v>14.416624648166774</v>
      </c>
      <c r="E78" s="73">
        <f t="shared" si="14"/>
        <v>13.865052517162095</v>
      </c>
      <c r="F78" s="73">
        <f t="shared" si="14"/>
        <v>13.343233006012522</v>
      </c>
      <c r="G78" s="73">
        <f t="shared" si="14"/>
        <v>12.849263500574036</v>
      </c>
      <c r="H78" s="73">
        <f t="shared" si="14"/>
        <v>12.381377726440567</v>
      </c>
      <c r="I78" s="73">
        <f t="shared" si="14"/>
        <v>11.937935086776077</v>
      </c>
      <c r="J78" s="73">
        <f t="shared" si="14"/>
        <v>11.517410896434143</v>
      </c>
      <c r="K78" s="73">
        <f t="shared" si="14"/>
        <v>11.118387432168129</v>
      </c>
      <c r="L78" s="73">
        <f t="shared" si="14"/>
        <v>10.739545726316267</v>
      </c>
      <c r="M78" s="73">
        <f t="shared" si="14"/>
        <v>10.379658038180596</v>
      </c>
      <c r="N78" s="73">
        <f t="shared" si="14"/>
        <v>10.037580943471367</v>
      </c>
      <c r="O78" s="73">
        <f t="shared" si="14"/>
        <v>9.712248987740995</v>
      </c>
      <c r="P78" s="73">
        <f t="shared" si="14"/>
        <v>9.402668854735143</v>
      </c>
      <c r="Q78" s="73">
        <f t="shared" si="14"/>
        <v>9.107914005109148</v>
      </c>
      <c r="R78" s="73">
        <f t="shared" si="14"/>
        <v>8.82711974503669</v>
      </c>
      <c r="S78" s="73">
        <f t="shared" si="14"/>
        <v>8.559478687926376</v>
      </c>
      <c r="T78" s="73">
        <f t="shared" si="14"/>
        <v>8.304236575793956</v>
      </c>
      <c r="U78" s="73">
        <f t="shared" si="15"/>
        <v>8.060688429854247</v>
      </c>
      <c r="V78" s="73">
        <f t="shared" si="15"/>
        <v>7.828175002625196</v>
      </c>
      <c r="W78" s="73">
        <f t="shared" si="15"/>
        <v>7.606079506308366</v>
      </c>
      <c r="X78" s="73">
        <f t="shared" si="15"/>
        <v>7.393824594448654</v>
      </c>
      <c r="Y78" s="73">
        <f t="shared" si="15"/>
        <v>7.190869575906194</v>
      </c>
      <c r="Z78" s="73">
        <f t="shared" si="15"/>
        <v>6.996707842013921</v>
      </c>
      <c r="AA78" s="73">
        <f t="shared" si="15"/>
        <v>6.810864489465006</v>
      </c>
      <c r="AB78" s="74">
        <f t="shared" si="16"/>
        <v>15</v>
      </c>
    </row>
    <row r="79" spans="3:28" ht="13.5" thickTop="1">
      <c r="C79" s="59">
        <v>16</v>
      </c>
      <c r="D79" s="60">
        <f t="shared" si="13"/>
        <v>15.339925023051498</v>
      </c>
      <c r="E79" s="60">
        <f t="shared" si="14"/>
        <v>14.717873779368437</v>
      </c>
      <c r="F79" s="60">
        <f t="shared" si="14"/>
        <v>14.131264045332525</v>
      </c>
      <c r="G79" s="60">
        <f t="shared" si="14"/>
        <v>13.577709314288276</v>
      </c>
      <c r="H79" s="60">
        <f t="shared" si="14"/>
        <v>13.055002659942016</v>
      </c>
      <c r="I79" s="60">
        <f t="shared" si="14"/>
        <v>12.561102025996188</v>
      </c>
      <c r="J79" s="60">
        <f t="shared" si="14"/>
        <v>12.094116808148927</v>
      </c>
      <c r="K79" s="60">
        <f t="shared" si="14"/>
        <v>11.652295607853974</v>
      </c>
      <c r="L79" s="60">
        <f t="shared" si="14"/>
        <v>11.234015049106473</v>
      </c>
      <c r="M79" s="60">
        <f t="shared" si="14"/>
        <v>10.837769560171996</v>
      </c>
      <c r="N79" s="60">
        <f t="shared" si="14"/>
        <v>10.462162031726415</v>
      </c>
      <c r="O79" s="60">
        <f t="shared" si="14"/>
        <v>10.105895271453766</v>
      </c>
      <c r="P79" s="60">
        <f t="shared" si="14"/>
        <v>9.7677641828499</v>
      </c>
      <c r="Q79" s="60">
        <f t="shared" si="14"/>
        <v>9.446648602905745</v>
      </c>
      <c r="R79" s="60">
        <f t="shared" si="14"/>
        <v>9.141506739569014</v>
      </c>
      <c r="S79" s="60">
        <f t="shared" si="14"/>
        <v>8.851369155487385</v>
      </c>
      <c r="T79" s="60">
        <f aca="true" t="shared" si="17" ref="T79:AA94">PV(T$63,$C79,-$B$64)</f>
        <v>8.575333249579682</v>
      </c>
      <c r="U79" s="60">
        <f t="shared" si="15"/>
        <v>8.312558192526833</v>
      </c>
      <c r="V79" s="60">
        <f t="shared" si="15"/>
        <v>8.062260276370043</v>
      </c>
      <c r="W79" s="60">
        <f t="shared" si="15"/>
        <v>7.823708642098515</v>
      </c>
      <c r="X79" s="60">
        <f t="shared" si="15"/>
        <v>7.59622135244222</v>
      </c>
      <c r="Y79" s="60">
        <f t="shared" si="15"/>
        <v>7.379161780095671</v>
      </c>
      <c r="Z79" s="60">
        <f t="shared" si="15"/>
        <v>7.171935284317417</v>
      </c>
      <c r="AA79" s="60">
        <f t="shared" si="15"/>
        <v>6.973986151308042</v>
      </c>
      <c r="AB79" s="61">
        <f t="shared" si="16"/>
        <v>16</v>
      </c>
    </row>
    <row r="80" spans="3:28" ht="12.75">
      <c r="C80" s="59">
        <v>17</v>
      </c>
      <c r="D80" s="60">
        <f t="shared" si="13"/>
        <v>16.258631863732827</v>
      </c>
      <c r="E80" s="60">
        <f aca="true" t="shared" si="18" ref="E80:S80">PV(E$63,$C80,-$B$64)</f>
        <v>15.562251266701427</v>
      </c>
      <c r="F80" s="60">
        <f t="shared" si="18"/>
        <v>14.907649305746325</v>
      </c>
      <c r="G80" s="60">
        <f t="shared" si="18"/>
        <v>14.291871876753214</v>
      </c>
      <c r="H80" s="60">
        <f t="shared" si="18"/>
        <v>13.712197717016597</v>
      </c>
      <c r="I80" s="60">
        <f t="shared" si="18"/>
        <v>13.16611847184096</v>
      </c>
      <c r="J80" s="60">
        <f t="shared" si="18"/>
        <v>12.651320587583504</v>
      </c>
      <c r="K80" s="60">
        <f t="shared" si="18"/>
        <v>12.165668853705743</v>
      </c>
      <c r="L80" s="60">
        <f t="shared" si="18"/>
        <v>11.707191434551648</v>
      </c>
      <c r="M80" s="60">
        <f t="shared" si="18"/>
        <v>11.274066247782853</v>
      </c>
      <c r="N80" s="60">
        <f t="shared" si="18"/>
        <v>10.864608560878118</v>
      </c>
      <c r="O80" s="60">
        <f t="shared" si="18"/>
        <v>10.477259690050724</v>
      </c>
      <c r="P80" s="60">
        <f t="shared" si="18"/>
        <v>10.110576697511643</v>
      </c>
      <c r="Q80" s="60">
        <f t="shared" si="18"/>
        <v>9.763222993369855</v>
      </c>
      <c r="R80" s="60">
        <f t="shared" si="18"/>
        <v>9.433959757738618</v>
      </c>
      <c r="S80" s="60">
        <f t="shared" si="18"/>
        <v>9.121638106932764</v>
      </c>
      <c r="T80" s="60">
        <f t="shared" si="17"/>
        <v>8.82519193509648</v>
      </c>
      <c r="U80" s="60">
        <f t="shared" si="17"/>
        <v>8.543631369290672</v>
      </c>
      <c r="V80" s="60">
        <f t="shared" si="17"/>
        <v>8.2760367820731</v>
      </c>
      <c r="W80" s="60">
        <f t="shared" si="17"/>
        <v>8.02155331099865</v>
      </c>
      <c r="X80" s="60">
        <f t="shared" si="17"/>
        <v>7.779385839314226</v>
      </c>
      <c r="Y80" s="60">
        <f t="shared" si="17"/>
        <v>7.548794396482585</v>
      </c>
      <c r="Z80" s="60">
        <f t="shared" si="17"/>
        <v>7.329089941091854</v>
      </c>
      <c r="AA80" s="60">
        <f t="shared" si="17"/>
        <v>7.119630492239323</v>
      </c>
      <c r="AB80" s="61">
        <f t="shared" si="16"/>
        <v>17</v>
      </c>
    </row>
    <row r="81" spans="3:28" ht="12.75">
      <c r="C81" s="59">
        <v>18</v>
      </c>
      <c r="D81" s="60">
        <f aca="true" t="shared" si="19" ref="D81:S96">PV(D$63,$C81,-$B$64)</f>
        <v>17.172768023614694</v>
      </c>
      <c r="E81" s="60">
        <f t="shared" si="19"/>
        <v>16.398268580892505</v>
      </c>
      <c r="F81" s="60">
        <f t="shared" si="19"/>
        <v>15.672560892360908</v>
      </c>
      <c r="G81" s="60">
        <f t="shared" si="19"/>
        <v>14.992031251718833</v>
      </c>
      <c r="H81" s="60">
        <f t="shared" si="19"/>
        <v>14.353363626357655</v>
      </c>
      <c r="I81" s="60">
        <f t="shared" si="19"/>
        <v>13.753513079457242</v>
      </c>
      <c r="J81" s="60">
        <f t="shared" si="19"/>
        <v>13.189681727133818</v>
      </c>
      <c r="K81" s="60">
        <f t="shared" si="19"/>
        <v>12.659296974717064</v>
      </c>
      <c r="L81" s="60">
        <f t="shared" si="19"/>
        <v>12.159991803398706</v>
      </c>
      <c r="M81" s="60">
        <f t="shared" si="19"/>
        <v>11.689586902650337</v>
      </c>
      <c r="N81" s="60">
        <f t="shared" si="19"/>
        <v>11.246074465287316</v>
      </c>
      <c r="O81" s="60">
        <f t="shared" si="19"/>
        <v>10.82760348117993</v>
      </c>
      <c r="P81" s="60">
        <f t="shared" si="19"/>
        <v>10.43246638264004</v>
      </c>
      <c r="Q81" s="60">
        <f t="shared" si="19"/>
        <v>10.059086909691453</v>
      </c>
      <c r="R81" s="60">
        <f t="shared" si="19"/>
        <v>9.706009076966156</v>
      </c>
      <c r="S81" s="60">
        <f t="shared" si="19"/>
        <v>9.371887136048855</v>
      </c>
      <c r="T81" s="60">
        <f t="shared" si="17"/>
        <v>9.05547643787694</v>
      </c>
      <c r="U81" s="60">
        <f t="shared" si="17"/>
        <v>8.755625109440984</v>
      </c>
      <c r="V81" s="60">
        <f t="shared" si="17"/>
        <v>8.471266467646666</v>
      </c>
      <c r="W81" s="60">
        <f t="shared" si="17"/>
        <v>8.201412100907863</v>
      </c>
      <c r="X81" s="60">
        <f t="shared" si="17"/>
        <v>7.945145555940476</v>
      </c>
      <c r="Y81" s="60">
        <f t="shared" si="17"/>
        <v>7.701616573407735</v>
      </c>
      <c r="Z81" s="60">
        <f t="shared" si="17"/>
        <v>7.470035821607044</v>
      </c>
      <c r="AA81" s="60">
        <f t="shared" si="17"/>
        <v>7.2496700823565385</v>
      </c>
      <c r="AB81" s="61">
        <f t="shared" si="16"/>
        <v>18</v>
      </c>
    </row>
    <row r="82" spans="3:28" ht="12.75">
      <c r="C82" s="59">
        <v>19</v>
      </c>
      <c r="D82" s="60">
        <f t="shared" si="19"/>
        <v>18.082356242402664</v>
      </c>
      <c r="E82" s="60">
        <f t="shared" si="19"/>
        <v>17.226008495933154</v>
      </c>
      <c r="F82" s="60">
        <f t="shared" si="19"/>
        <v>16.426168366858032</v>
      </c>
      <c r="G82" s="60">
        <f t="shared" si="19"/>
        <v>15.678462011489053</v>
      </c>
      <c r="H82" s="60">
        <f t="shared" si="19"/>
        <v>14.978891342787957</v>
      </c>
      <c r="I82" s="60">
        <f t="shared" si="19"/>
        <v>14.323799106269167</v>
      </c>
      <c r="J82" s="60">
        <f t="shared" si="19"/>
        <v>13.709837417520596</v>
      </c>
      <c r="K82" s="60">
        <f t="shared" si="19"/>
        <v>13.133939398766406</v>
      </c>
      <c r="L82" s="60">
        <f t="shared" si="19"/>
        <v>12.593293591769095</v>
      </c>
      <c r="M82" s="60">
        <f t="shared" si="19"/>
        <v>12.085320859666988</v>
      </c>
      <c r="N82" s="60">
        <f t="shared" si="19"/>
        <v>11.607653521599351</v>
      </c>
      <c r="O82" s="60">
        <f t="shared" si="19"/>
        <v>11.158116491679177</v>
      </c>
      <c r="P82" s="60">
        <f t="shared" si="19"/>
        <v>10.734710218441352</v>
      </c>
      <c r="Q82" s="60">
        <f t="shared" si="19"/>
        <v>10.335595242702292</v>
      </c>
      <c r="R82" s="60">
        <f t="shared" si="19"/>
        <v>9.959078211131308</v>
      </c>
      <c r="S82" s="60">
        <f t="shared" si="19"/>
        <v>9.603599200045238</v>
      </c>
      <c r="T82" s="60">
        <f t="shared" si="17"/>
        <v>9.26772021924142</v>
      </c>
      <c r="U82" s="60">
        <f t="shared" si="17"/>
        <v>8.950114779303656</v>
      </c>
      <c r="V82" s="60">
        <f t="shared" si="17"/>
        <v>8.64955841794216</v>
      </c>
      <c r="W82" s="60">
        <f t="shared" si="17"/>
        <v>8.36492009173442</v>
      </c>
      <c r="X82" s="60">
        <f t="shared" si="17"/>
        <v>8.0951543492674</v>
      </c>
      <c r="Y82" s="60">
        <f t="shared" si="17"/>
        <v>7.839294210277239</v>
      </c>
      <c r="Z82" s="60">
        <f t="shared" si="17"/>
        <v>7.596444683055644</v>
      </c>
      <c r="AA82" s="60">
        <f t="shared" si="17"/>
        <v>7.3657768592469095</v>
      </c>
      <c r="AB82" s="61">
        <f t="shared" si="16"/>
        <v>19</v>
      </c>
    </row>
    <row r="83" spans="3:28" ht="13.5" thickBot="1">
      <c r="C83" s="72">
        <v>20</v>
      </c>
      <c r="D83" s="73">
        <f t="shared" si="19"/>
        <v>18.9874191466693</v>
      </c>
      <c r="E83" s="73">
        <f t="shared" si="19"/>
        <v>18.045552966270456</v>
      </c>
      <c r="F83" s="73">
        <f t="shared" si="19"/>
        <v>17.16863878508179</v>
      </c>
      <c r="G83" s="73">
        <f t="shared" si="19"/>
        <v>16.351433344597112</v>
      </c>
      <c r="H83" s="73">
        <f t="shared" si="19"/>
        <v>15.589162285646786</v>
      </c>
      <c r="I83" s="73">
        <f t="shared" si="19"/>
        <v>14.877474860455502</v>
      </c>
      <c r="J83" s="73">
        <f t="shared" si="19"/>
        <v>14.212403301952266</v>
      </c>
      <c r="K83" s="73">
        <f t="shared" si="19"/>
        <v>13.590326344967698</v>
      </c>
      <c r="L83" s="73">
        <f t="shared" si="19"/>
        <v>13.007936451453677</v>
      </c>
      <c r="M83" s="73">
        <f t="shared" si="19"/>
        <v>12.462210342539986</v>
      </c>
      <c r="N83" s="73">
        <f t="shared" si="19"/>
        <v>11.950382484928296</v>
      </c>
      <c r="O83" s="73">
        <f t="shared" si="19"/>
        <v>11.469921218565263</v>
      </c>
      <c r="P83" s="73">
        <f t="shared" si="19"/>
        <v>11.018507247362772</v>
      </c>
      <c r="Q83" s="73">
        <f t="shared" si="19"/>
        <v>10.594014245516162</v>
      </c>
      <c r="R83" s="73">
        <f t="shared" si="19"/>
        <v>10.194491359191913</v>
      </c>
      <c r="S83" s="73">
        <f t="shared" si="19"/>
        <v>9.818147407449294</v>
      </c>
      <c r="T83" s="73">
        <f t="shared" si="17"/>
        <v>9.463336607595778</v>
      </c>
      <c r="U83" s="73">
        <f t="shared" si="17"/>
        <v>9.128545669085922</v>
      </c>
      <c r="V83" s="73">
        <f t="shared" si="17"/>
        <v>8.812382116842155</v>
      </c>
      <c r="W83" s="73">
        <f t="shared" si="17"/>
        <v>8.513563719758565</v>
      </c>
      <c r="X83" s="73">
        <f t="shared" si="17"/>
        <v>8.230908913364162</v>
      </c>
      <c r="Y83" s="73">
        <f t="shared" si="17"/>
        <v>7.963328117366882</v>
      </c>
      <c r="Z83" s="73">
        <f t="shared" si="17"/>
        <v>7.709815859242731</v>
      </c>
      <c r="AA83" s="73">
        <f t="shared" si="17"/>
        <v>7.469443624327597</v>
      </c>
      <c r="AB83" s="74">
        <f t="shared" si="16"/>
        <v>20</v>
      </c>
    </row>
    <row r="84" spans="3:28" ht="13.5" thickTop="1">
      <c r="C84" s="59">
        <v>21</v>
      </c>
      <c r="D84" s="60">
        <f t="shared" si="19"/>
        <v>19.887979250417168</v>
      </c>
      <c r="E84" s="60">
        <f t="shared" si="19"/>
        <v>18.856983134921236</v>
      </c>
      <c r="F84" s="60">
        <f t="shared" si="19"/>
        <v>17.900136734070724</v>
      </c>
      <c r="G84" s="60">
        <f t="shared" si="19"/>
        <v>17.011209161369717</v>
      </c>
      <c r="H84" s="60">
        <f t="shared" si="19"/>
        <v>16.184548571362715</v>
      </c>
      <c r="I84" s="60">
        <f t="shared" si="19"/>
        <v>15.415024136364561</v>
      </c>
      <c r="J84" s="60">
        <f t="shared" si="19"/>
        <v>14.697974204784796</v>
      </c>
      <c r="K84" s="60">
        <f t="shared" si="19"/>
        <v>14.029159947084327</v>
      </c>
      <c r="L84" s="60">
        <f t="shared" si="19"/>
        <v>13.404723876989165</v>
      </c>
      <c r="M84" s="60">
        <f t="shared" si="19"/>
        <v>12.821152707180941</v>
      </c>
      <c r="N84" s="60">
        <f t="shared" si="19"/>
        <v>12.275244061543406</v>
      </c>
      <c r="O84" s="60">
        <f t="shared" si="19"/>
        <v>11.764076621287986</v>
      </c>
      <c r="P84" s="60">
        <f t="shared" si="19"/>
        <v>11.284983330857061</v>
      </c>
      <c r="Q84" s="60">
        <f t="shared" si="19"/>
        <v>10.835527332258094</v>
      </c>
      <c r="R84" s="60">
        <f t="shared" si="19"/>
        <v>10.413480334132013</v>
      </c>
      <c r="S84" s="60">
        <f t="shared" si="19"/>
        <v>10.016803155045642</v>
      </c>
      <c r="T84" s="60">
        <f t="shared" si="17"/>
        <v>9.643628209765694</v>
      </c>
      <c r="U84" s="60">
        <f t="shared" si="17"/>
        <v>9.29224373310635</v>
      </c>
      <c r="V84" s="60">
        <f t="shared" si="17"/>
        <v>8.961079558759959</v>
      </c>
      <c r="W84" s="60">
        <f t="shared" si="17"/>
        <v>8.648694290689605</v>
      </c>
      <c r="X84" s="60">
        <f t="shared" si="17"/>
        <v>8.353763722501505</v>
      </c>
      <c r="Y84" s="60">
        <f t="shared" si="17"/>
        <v>8.0750703760062</v>
      </c>
      <c r="Z84" s="60">
        <f t="shared" si="17"/>
        <v>7.811494044163885</v>
      </c>
      <c r="AA84" s="60">
        <f t="shared" si="17"/>
        <v>7.562003236006784</v>
      </c>
      <c r="AB84" s="61">
        <f t="shared" si="16"/>
        <v>21</v>
      </c>
    </row>
    <row r="85" spans="3:28" ht="12.75">
      <c r="C85" s="59">
        <v>22</v>
      </c>
      <c r="D85" s="60">
        <f t="shared" si="19"/>
        <v>20.784058955638944</v>
      </c>
      <c r="E85" s="60">
        <f t="shared" si="19"/>
        <v>19.660379341506193</v>
      </c>
      <c r="F85" s="60">
        <f t="shared" si="19"/>
        <v>18.620824368542575</v>
      </c>
      <c r="G85" s="60">
        <f t="shared" si="19"/>
        <v>17.658048197421294</v>
      </c>
      <c r="H85" s="60">
        <f t="shared" si="19"/>
        <v>16.765413240353865</v>
      </c>
      <c r="I85" s="60">
        <f t="shared" si="19"/>
        <v>15.93691663724715</v>
      </c>
      <c r="J85" s="60">
        <f t="shared" si="19"/>
        <v>15.167124835540864</v>
      </c>
      <c r="K85" s="60">
        <f t="shared" si="19"/>
        <v>14.451115333734931</v>
      </c>
      <c r="L85" s="60">
        <f t="shared" si="19"/>
        <v>13.784424762669056</v>
      </c>
      <c r="M85" s="60">
        <f t="shared" si="19"/>
        <v>13.163002578267562</v>
      </c>
      <c r="N85" s="60">
        <f t="shared" si="19"/>
        <v>12.583169726581428</v>
      </c>
      <c r="O85" s="60">
        <f t="shared" si="19"/>
        <v>12.041581718196213</v>
      </c>
      <c r="P85" s="60">
        <f t="shared" si="19"/>
        <v>11.535195615828226</v>
      </c>
      <c r="Q85" s="60">
        <f t="shared" si="19"/>
        <v>11.06124049743747</v>
      </c>
      <c r="R85" s="60">
        <f t="shared" si="19"/>
        <v>10.617191008494895</v>
      </c>
      <c r="S85" s="60">
        <f t="shared" si="19"/>
        <v>10.200743662079299</v>
      </c>
      <c r="T85" s="60">
        <f t="shared" si="17"/>
        <v>9.809795585037506</v>
      </c>
      <c r="U85" s="60">
        <f t="shared" si="17"/>
        <v>9.442425443216836</v>
      </c>
      <c r="V85" s="60">
        <f t="shared" si="17"/>
        <v>9.096876309369826</v>
      </c>
      <c r="W85" s="60">
        <f t="shared" si="17"/>
        <v>8.771540264263276</v>
      </c>
      <c r="X85" s="60">
        <f t="shared" si="17"/>
        <v>8.46494454525023</v>
      </c>
      <c r="Y85" s="60">
        <f t="shared" si="17"/>
        <v>8.175739077483064</v>
      </c>
      <c r="Z85" s="60">
        <f t="shared" si="17"/>
        <v>7.902685241402587</v>
      </c>
      <c r="AA85" s="60">
        <f t="shared" si="17"/>
        <v>7.644645746434629</v>
      </c>
      <c r="AB85" s="61">
        <f t="shared" si="16"/>
        <v>22</v>
      </c>
    </row>
    <row r="86" spans="3:28" ht="12.75">
      <c r="C86" s="59">
        <v>23</v>
      </c>
      <c r="D86" s="60">
        <f t="shared" si="19"/>
        <v>21.67568055287453</v>
      </c>
      <c r="E86" s="60">
        <f t="shared" si="19"/>
        <v>20.45582113020414</v>
      </c>
      <c r="F86" s="60">
        <f t="shared" si="19"/>
        <v>19.33086144683997</v>
      </c>
      <c r="G86" s="60">
        <f t="shared" si="19"/>
        <v>18.29220411511891</v>
      </c>
      <c r="H86" s="60">
        <f t="shared" si="19"/>
        <v>17.332110478394018</v>
      </c>
      <c r="I86" s="60">
        <f t="shared" si="19"/>
        <v>16.443608385676846</v>
      </c>
      <c r="J86" s="60">
        <f t="shared" si="19"/>
        <v>15.62041046912161</v>
      </c>
      <c r="K86" s="60">
        <f t="shared" si="19"/>
        <v>14.856841667052818</v>
      </c>
      <c r="L86" s="60">
        <f t="shared" si="19"/>
        <v>14.147774892506275</v>
      </c>
      <c r="M86" s="60">
        <f t="shared" si="19"/>
        <v>13.488573884064344</v>
      </c>
      <c r="N86" s="60">
        <f t="shared" si="19"/>
        <v>12.875042394863913</v>
      </c>
      <c r="O86" s="60">
        <f t="shared" si="19"/>
        <v>12.30337897943039</v>
      </c>
      <c r="P86" s="60">
        <f t="shared" si="19"/>
        <v>11.770136728477206</v>
      </c>
      <c r="Q86" s="60">
        <f t="shared" si="19"/>
        <v>11.272187380782682</v>
      </c>
      <c r="R86" s="60">
        <f t="shared" si="19"/>
        <v>10.80668931022781</v>
      </c>
      <c r="S86" s="60">
        <f t="shared" si="19"/>
        <v>10.37105894636972</v>
      </c>
      <c r="T86" s="60">
        <f t="shared" si="17"/>
        <v>9.962945239665904</v>
      </c>
      <c r="U86" s="60">
        <f t="shared" si="17"/>
        <v>9.5802068286393</v>
      </c>
      <c r="V86" s="60">
        <f t="shared" si="17"/>
        <v>9.220891606730433</v>
      </c>
      <c r="W86" s="60">
        <f t="shared" si="17"/>
        <v>8.883218422057524</v>
      </c>
      <c r="X86" s="60">
        <f t="shared" si="17"/>
        <v>8.565560674434598</v>
      </c>
      <c r="Y86" s="60">
        <f t="shared" si="17"/>
        <v>8.266431601336093</v>
      </c>
      <c r="Z86" s="60">
        <f t="shared" si="17"/>
        <v>7.9844710685225</v>
      </c>
      <c r="AA86" s="60">
        <f t="shared" si="17"/>
        <v>7.718433702173775</v>
      </c>
      <c r="AB86" s="61">
        <f t="shared" si="16"/>
        <v>23</v>
      </c>
    </row>
    <row r="87" spans="3:28" ht="12.75">
      <c r="C87" s="59">
        <v>24</v>
      </c>
      <c r="D87" s="60">
        <f t="shared" si="19"/>
        <v>22.56286622176572</v>
      </c>
      <c r="E87" s="60">
        <f t="shared" si="19"/>
        <v>21.24338725762788</v>
      </c>
      <c r="F87" s="60">
        <f t="shared" si="19"/>
        <v>20.030405366344795</v>
      </c>
      <c r="G87" s="60">
        <f t="shared" si="19"/>
        <v>18.913925603057756</v>
      </c>
      <c r="H87" s="60">
        <f t="shared" si="19"/>
        <v>17.884985832579527</v>
      </c>
      <c r="I87" s="60">
        <f t="shared" si="19"/>
        <v>16.93554212201635</v>
      </c>
      <c r="J87" s="60">
        <f t="shared" si="19"/>
        <v>16.058367603016045</v>
      </c>
      <c r="K87" s="60">
        <f t="shared" si="19"/>
        <v>15.24696314139694</v>
      </c>
      <c r="L87" s="60">
        <f t="shared" si="19"/>
        <v>14.495478366034709</v>
      </c>
      <c r="M87" s="60">
        <f t="shared" si="19"/>
        <v>13.798641794346993</v>
      </c>
      <c r="N87" s="60">
        <f t="shared" si="19"/>
        <v>13.151698952477641</v>
      </c>
      <c r="O87" s="60">
        <f t="shared" si="19"/>
        <v>12.550357527764518</v>
      </c>
      <c r="P87" s="60">
        <f t="shared" si="19"/>
        <v>11.99073871218517</v>
      </c>
      <c r="Q87" s="60">
        <f t="shared" si="19"/>
        <v>11.469334000731479</v>
      </c>
      <c r="R87" s="60">
        <f t="shared" si="19"/>
        <v>10.982966800211916</v>
      </c>
      <c r="S87" s="60">
        <f t="shared" si="19"/>
        <v>10.528758283675666</v>
      </c>
      <c r="T87" s="60">
        <f t="shared" si="17"/>
        <v>10.104096995083783</v>
      </c>
      <c r="U87" s="60">
        <f t="shared" si="17"/>
        <v>9.706611769393852</v>
      </c>
      <c r="V87" s="60">
        <f t="shared" si="17"/>
        <v>9.334147586055192</v>
      </c>
      <c r="W87" s="60">
        <f t="shared" si="17"/>
        <v>8.984744020052295</v>
      </c>
      <c r="X87" s="60">
        <f t="shared" si="17"/>
        <v>8.656615994963436</v>
      </c>
      <c r="Y87" s="60">
        <f t="shared" si="17"/>
        <v>8.348136577780265</v>
      </c>
      <c r="Z87" s="60">
        <f t="shared" si="17"/>
        <v>8.057821586118832</v>
      </c>
      <c r="AA87" s="60">
        <f t="shared" si="17"/>
        <v>7.7843158055123</v>
      </c>
      <c r="AB87" s="61">
        <f t="shared" si="16"/>
        <v>24</v>
      </c>
    </row>
    <row r="88" spans="3:28" ht="13.5" thickBot="1">
      <c r="C88" s="72">
        <v>25</v>
      </c>
      <c r="D88" s="73">
        <f t="shared" si="19"/>
        <v>23.445638031607647</v>
      </c>
      <c r="E88" s="73">
        <f t="shared" si="19"/>
        <v>22.023155700621672</v>
      </c>
      <c r="F88" s="73">
        <f t="shared" si="19"/>
        <v>20.719611198369254</v>
      </c>
      <c r="G88" s="73">
        <f t="shared" si="19"/>
        <v>19.523456473586034</v>
      </c>
      <c r="H88" s="73">
        <f t="shared" si="19"/>
        <v>18.424376422028804</v>
      </c>
      <c r="I88" s="73">
        <f t="shared" si="19"/>
        <v>17.41314769127801</v>
      </c>
      <c r="J88" s="73">
        <f t="shared" si="19"/>
        <v>16.481514592286032</v>
      </c>
      <c r="K88" s="73">
        <f t="shared" si="19"/>
        <v>15.622079943650906</v>
      </c>
      <c r="L88" s="73">
        <f t="shared" si="19"/>
        <v>14.82820896271264</v>
      </c>
      <c r="M88" s="73">
        <f t="shared" si="19"/>
        <v>14.093944566044758</v>
      </c>
      <c r="N88" s="73">
        <f t="shared" si="19"/>
        <v>13.413932656376911</v>
      </c>
      <c r="O88" s="73">
        <f t="shared" si="19"/>
        <v>12.783356158268413</v>
      </c>
      <c r="P88" s="73">
        <f t="shared" si="19"/>
        <v>12.1978767250565</v>
      </c>
      <c r="Q88" s="73">
        <f t="shared" si="19"/>
        <v>11.653583178253719</v>
      </c>
      <c r="R88" s="73">
        <f t="shared" si="19"/>
        <v>11.146945860662248</v>
      </c>
      <c r="S88" s="73">
        <f t="shared" si="19"/>
        <v>10.674776188588583</v>
      </c>
      <c r="T88" s="73">
        <f t="shared" si="17"/>
        <v>10.234190778879062</v>
      </c>
      <c r="U88" s="73">
        <f t="shared" si="17"/>
        <v>9.822579604948489</v>
      </c>
      <c r="V88" s="73">
        <f t="shared" si="17"/>
        <v>9.437577704159992</v>
      </c>
      <c r="W88" s="73">
        <f t="shared" si="17"/>
        <v>9.077040018229358</v>
      </c>
      <c r="X88" s="73">
        <f t="shared" si="17"/>
        <v>8.73901899996691</v>
      </c>
      <c r="Y88" s="73">
        <f t="shared" si="17"/>
        <v>8.421744664666905</v>
      </c>
      <c r="Z88" s="73">
        <f t="shared" si="17"/>
        <v>8.12360680369402</v>
      </c>
      <c r="AA88" s="73">
        <f t="shared" si="17"/>
        <v>7.843139112064554</v>
      </c>
      <c r="AB88" s="74">
        <f t="shared" si="16"/>
        <v>25</v>
      </c>
    </row>
    <row r="89" spans="3:28" ht="13.5" thickTop="1">
      <c r="C89" s="59">
        <v>26</v>
      </c>
      <c r="D89" s="60">
        <f t="shared" si="19"/>
        <v>24.324017941898134</v>
      </c>
      <c r="E89" s="60">
        <f t="shared" si="19"/>
        <v>22.795203663981848</v>
      </c>
      <c r="F89" s="60">
        <f t="shared" si="19"/>
        <v>21.398631722531274</v>
      </c>
      <c r="G89" s="60">
        <f t="shared" si="19"/>
        <v>20.121035758417683</v>
      </c>
      <c r="H89" s="60">
        <f t="shared" si="19"/>
        <v>18.950611143442732</v>
      </c>
      <c r="I89" s="60">
        <f t="shared" si="19"/>
        <v>17.87684241871652</v>
      </c>
      <c r="J89" s="60">
        <f t="shared" si="19"/>
        <v>16.89035226307829</v>
      </c>
      <c r="K89" s="60">
        <f t="shared" si="19"/>
        <v>15.982769176587407</v>
      </c>
      <c r="L89" s="60">
        <f t="shared" si="19"/>
        <v>15.146611447571903</v>
      </c>
      <c r="M89" s="60">
        <f t="shared" si="19"/>
        <v>14.375185300995009</v>
      </c>
      <c r="N89" s="60">
        <f t="shared" si="19"/>
        <v>13.662495408888068</v>
      </c>
      <c r="O89" s="60">
        <f t="shared" si="19"/>
        <v>13.003166187045673</v>
      </c>
      <c r="P89" s="60">
        <f t="shared" si="19"/>
        <v>12.392372511790137</v>
      </c>
      <c r="Q89" s="60">
        <f t="shared" si="19"/>
        <v>11.825778671265157</v>
      </c>
      <c r="R89" s="60">
        <f t="shared" si="19"/>
        <v>11.299484521546276</v>
      </c>
      <c r="S89" s="60">
        <f t="shared" si="19"/>
        <v>10.809977952396833</v>
      </c>
      <c r="T89" s="60">
        <f t="shared" si="17"/>
        <v>10.354092883759504</v>
      </c>
      <c r="U89" s="60">
        <f t="shared" si="17"/>
        <v>9.928972114631641</v>
      </c>
      <c r="V89" s="60">
        <f t="shared" si="17"/>
        <v>9.532034433022824</v>
      </c>
      <c r="W89" s="60">
        <f t="shared" si="17"/>
        <v>9.160945471117598</v>
      </c>
      <c r="X89" s="60">
        <f t="shared" si="17"/>
        <v>8.813591855173675</v>
      </c>
      <c r="Y89" s="60">
        <f t="shared" si="17"/>
        <v>8.48805825645667</v>
      </c>
      <c r="Z89" s="60">
        <f t="shared" si="17"/>
        <v>8.182606998828717</v>
      </c>
      <c r="AA89" s="60">
        <f t="shared" si="17"/>
        <v>7.895659921486208</v>
      </c>
      <c r="AB89" s="61">
        <f t="shared" si="16"/>
        <v>26</v>
      </c>
    </row>
    <row r="90" spans="3:28" ht="12.75">
      <c r="C90" s="59">
        <v>27</v>
      </c>
      <c r="D90" s="60">
        <f t="shared" si="19"/>
        <v>25.19802780288369</v>
      </c>
      <c r="E90" s="60">
        <f t="shared" si="19"/>
        <v>23.559607588100818</v>
      </c>
      <c r="F90" s="60">
        <f t="shared" si="19"/>
        <v>22.067617460621943</v>
      </c>
      <c r="G90" s="60">
        <f t="shared" si="19"/>
        <v>20.70689780237027</v>
      </c>
      <c r="H90" s="60">
        <f t="shared" si="19"/>
        <v>19.464010871651446</v>
      </c>
      <c r="I90" s="60">
        <f t="shared" si="19"/>
        <v>18.327031474482055</v>
      </c>
      <c r="J90" s="60">
        <f t="shared" si="19"/>
        <v>17.28536450538965</v>
      </c>
      <c r="K90" s="60">
        <f t="shared" si="19"/>
        <v>16.329585746718664</v>
      </c>
      <c r="L90" s="60">
        <f t="shared" si="19"/>
        <v>15.45130282064297</v>
      </c>
      <c r="M90" s="60">
        <f t="shared" si="19"/>
        <v>14.643033619995245</v>
      </c>
      <c r="N90" s="60">
        <f t="shared" si="19"/>
        <v>13.898099913637978</v>
      </c>
      <c r="O90" s="60">
        <f t="shared" si="19"/>
        <v>13.210534138722334</v>
      </c>
      <c r="P90" s="60">
        <f t="shared" si="19"/>
        <v>12.574997663652711</v>
      </c>
      <c r="Q90" s="60">
        <f t="shared" si="19"/>
        <v>11.98670903856557</v>
      </c>
      <c r="R90" s="60">
        <f t="shared" si="19"/>
        <v>11.441380950275606</v>
      </c>
      <c r="S90" s="60">
        <f t="shared" si="19"/>
        <v>10.93516477073781</v>
      </c>
      <c r="T90" s="60">
        <f t="shared" si="17"/>
        <v>10.464601736183875</v>
      </c>
      <c r="U90" s="60">
        <f t="shared" si="17"/>
        <v>10.026579921680405</v>
      </c>
      <c r="V90" s="60">
        <f t="shared" si="17"/>
        <v>9.618296285865592</v>
      </c>
      <c r="W90" s="60">
        <f t="shared" si="17"/>
        <v>9.237223155561454</v>
      </c>
      <c r="X90" s="60">
        <f t="shared" si="17"/>
        <v>8.881078601967127</v>
      </c>
      <c r="Y90" s="60">
        <f t="shared" si="17"/>
        <v>8.547800231042046</v>
      </c>
      <c r="Z90" s="60">
        <f t="shared" si="17"/>
        <v>8.235521972043694</v>
      </c>
      <c r="AA90" s="60">
        <f t="shared" si="17"/>
        <v>7.942553501326972</v>
      </c>
      <c r="AB90" s="61">
        <f t="shared" si="16"/>
        <v>27</v>
      </c>
    </row>
    <row r="91" spans="3:28" ht="12.75">
      <c r="C91" s="59">
        <v>28</v>
      </c>
      <c r="D91" s="60">
        <f t="shared" si="19"/>
        <v>26.067689356103138</v>
      </c>
      <c r="E91" s="60">
        <f t="shared" si="19"/>
        <v>24.31644315653547</v>
      </c>
      <c r="F91" s="60">
        <f t="shared" si="19"/>
        <v>22.726716709972344</v>
      </c>
      <c r="G91" s="60">
        <f t="shared" si="19"/>
        <v>21.281272355264978</v>
      </c>
      <c r="H91" s="60">
        <f t="shared" si="19"/>
        <v>19.9648886552697</v>
      </c>
      <c r="I91" s="60">
        <f t="shared" si="19"/>
        <v>18.764108227652482</v>
      </c>
      <c r="J91" s="60">
        <f t="shared" si="19"/>
        <v>17.667018845787105</v>
      </c>
      <c r="K91" s="60">
        <f t="shared" si="19"/>
        <v>16.663063217998715</v>
      </c>
      <c r="L91" s="60">
        <f t="shared" si="19"/>
        <v>15.742873512577003</v>
      </c>
      <c r="M91" s="60">
        <f t="shared" si="19"/>
        <v>14.898127257138327</v>
      </c>
      <c r="N91" s="60">
        <f t="shared" si="19"/>
        <v>14.121421719088131</v>
      </c>
      <c r="O91" s="60">
        <f t="shared" si="19"/>
        <v>13.406164281813522</v>
      </c>
      <c r="P91" s="60">
        <f t="shared" si="19"/>
        <v>12.746476679486115</v>
      </c>
      <c r="Q91" s="60">
        <f t="shared" si="19"/>
        <v>12.137111250995858</v>
      </c>
      <c r="R91" s="60">
        <f t="shared" si="19"/>
        <v>11.573377628163355</v>
      </c>
      <c r="S91" s="60">
        <f t="shared" si="19"/>
        <v>11.051078491423898</v>
      </c>
      <c r="T91" s="60">
        <f t="shared" si="17"/>
        <v>10.566453213072695</v>
      </c>
      <c r="U91" s="60">
        <f t="shared" si="17"/>
        <v>10.116128368514133</v>
      </c>
      <c r="V91" s="60">
        <f t="shared" si="17"/>
        <v>9.697074233667207</v>
      </c>
      <c r="W91" s="60">
        <f t="shared" si="17"/>
        <v>9.306566505055866</v>
      </c>
      <c r="X91" s="60">
        <f t="shared" si="17"/>
        <v>8.942152580965725</v>
      </c>
      <c r="Y91" s="60">
        <f t="shared" si="17"/>
        <v>8.601621829767609</v>
      </c>
      <c r="Z91" s="60">
        <f t="shared" si="17"/>
        <v>8.282979347124389</v>
      </c>
      <c r="AA91" s="60">
        <f t="shared" si="17"/>
        <v>7.98442276904194</v>
      </c>
      <c r="AB91" s="61">
        <f t="shared" si="16"/>
        <v>28</v>
      </c>
    </row>
    <row r="92" spans="3:28" ht="12.75">
      <c r="C92" s="59">
        <v>29</v>
      </c>
      <c r="D92" s="60">
        <f t="shared" si="19"/>
        <v>26.933024234928467</v>
      </c>
      <c r="E92" s="60">
        <f t="shared" si="19"/>
        <v>25.065785303500466</v>
      </c>
      <c r="F92" s="60">
        <f t="shared" si="19"/>
        <v>23.376075576327434</v>
      </c>
      <c r="G92" s="60">
        <f t="shared" si="19"/>
        <v>21.844384662024485</v>
      </c>
      <c r="H92" s="60">
        <f t="shared" si="19"/>
        <v>20.4535499075802</v>
      </c>
      <c r="I92" s="60">
        <f t="shared" si="19"/>
        <v>19.188454589953864</v>
      </c>
      <c r="J92" s="60">
        <f t="shared" si="19"/>
        <v>18.035767000760483</v>
      </c>
      <c r="K92" s="60">
        <f t="shared" si="19"/>
        <v>16.983714632691072</v>
      </c>
      <c r="L92" s="60">
        <f t="shared" si="19"/>
        <v>16.021888528781822</v>
      </c>
      <c r="M92" s="60">
        <f t="shared" si="19"/>
        <v>15.14107357822698</v>
      </c>
      <c r="N92" s="60">
        <f t="shared" si="19"/>
        <v>14.333101155533774</v>
      </c>
      <c r="O92" s="60">
        <f t="shared" si="19"/>
        <v>13.590721020578794</v>
      </c>
      <c r="P92" s="60">
        <f t="shared" si="19"/>
        <v>12.907489839893065</v>
      </c>
      <c r="Q92" s="60">
        <f t="shared" si="19"/>
        <v>12.277674066351269</v>
      </c>
      <c r="R92" s="60">
        <f t="shared" si="19"/>
        <v>11.696165235500795</v>
      </c>
      <c r="S92" s="60">
        <f t="shared" si="19"/>
        <v>11.158406010577682</v>
      </c>
      <c r="T92" s="60">
        <f t="shared" si="17"/>
        <v>10.660325542002484</v>
      </c>
      <c r="U92" s="60">
        <f t="shared" si="17"/>
        <v>10.198282906893699</v>
      </c>
      <c r="V92" s="60">
        <f t="shared" si="17"/>
        <v>9.769017564992884</v>
      </c>
      <c r="W92" s="60">
        <f t="shared" si="17"/>
        <v>9.36960591368715</v>
      </c>
      <c r="X92" s="60">
        <f t="shared" si="17"/>
        <v>8.997423150195228</v>
      </c>
      <c r="Y92" s="60">
        <f t="shared" si="17"/>
        <v>8.650109756547396</v>
      </c>
      <c r="Z92" s="60">
        <f t="shared" si="17"/>
        <v>8.325542015358195</v>
      </c>
      <c r="AA92" s="60">
        <f t="shared" si="17"/>
        <v>8.021806043787446</v>
      </c>
      <c r="AB92" s="61">
        <f t="shared" si="16"/>
        <v>29</v>
      </c>
    </row>
    <row r="93" spans="3:28" ht="13.5" thickBot="1">
      <c r="C93" s="72">
        <v>30</v>
      </c>
      <c r="D93" s="73">
        <f t="shared" si="19"/>
        <v>27.794053965102936</v>
      </c>
      <c r="E93" s="73">
        <f t="shared" si="19"/>
        <v>25.807708221287605</v>
      </c>
      <c r="F93" s="73">
        <f t="shared" si="19"/>
        <v>24.015838006233917</v>
      </c>
      <c r="G93" s="73">
        <f t="shared" si="19"/>
        <v>22.396455551004397</v>
      </c>
      <c r="H93" s="73">
        <f t="shared" si="19"/>
        <v>20.930292592761166</v>
      </c>
      <c r="I93" s="73">
        <f t="shared" si="19"/>
        <v>19.60044134946977</v>
      </c>
      <c r="J93" s="73">
        <f t="shared" si="19"/>
        <v>18.39204541136279</v>
      </c>
      <c r="K93" s="73">
        <f t="shared" si="19"/>
        <v>17.292033300664492</v>
      </c>
      <c r="L93" s="73">
        <f t="shared" si="19"/>
        <v>16.288888544288824</v>
      </c>
      <c r="M93" s="73">
        <f t="shared" si="19"/>
        <v>15.372451026882837</v>
      </c>
      <c r="N93" s="73">
        <f t="shared" si="19"/>
        <v>14.53374517112206</v>
      </c>
      <c r="O93" s="73">
        <f t="shared" si="19"/>
        <v>13.76483115148943</v>
      </c>
      <c r="P93" s="73">
        <f t="shared" si="19"/>
        <v>13.058675906002877</v>
      </c>
      <c r="Q93" s="73">
        <f t="shared" si="19"/>
        <v>12.409041183505858</v>
      </c>
      <c r="R93" s="73">
        <f t="shared" si="19"/>
        <v>11.810386265582135</v>
      </c>
      <c r="S93" s="73">
        <f t="shared" si="19"/>
        <v>11.257783343127485</v>
      </c>
      <c r="T93" s="73">
        <f t="shared" si="17"/>
        <v>10.746843817513811</v>
      </c>
      <c r="U93" s="73">
        <f t="shared" si="17"/>
        <v>10.273654043021743</v>
      </c>
      <c r="V93" s="73">
        <f t="shared" si="17"/>
        <v>9.834719237436424</v>
      </c>
      <c r="W93" s="73">
        <f t="shared" si="17"/>
        <v>9.42691446698832</v>
      </c>
      <c r="X93" s="73">
        <f t="shared" si="17"/>
        <v>9.047441764882558</v>
      </c>
      <c r="Y93" s="73">
        <f t="shared" si="17"/>
        <v>8.693792573466121</v>
      </c>
      <c r="Z93" s="73">
        <f t="shared" si="17"/>
        <v>8.363714811980444</v>
      </c>
      <c r="AA93" s="73">
        <f t="shared" si="17"/>
        <v>8.055183967667363</v>
      </c>
      <c r="AB93" s="74">
        <f t="shared" si="16"/>
        <v>30</v>
      </c>
    </row>
    <row r="94" spans="3:28" ht="13.5" thickTop="1">
      <c r="C94" s="59">
        <v>31</v>
      </c>
      <c r="D94" s="60">
        <f t="shared" si="19"/>
        <v>28.6507999652765</v>
      </c>
      <c r="E94" s="60">
        <f t="shared" si="19"/>
        <v>26.542285367611466</v>
      </c>
      <c r="F94" s="60">
        <f t="shared" si="19"/>
        <v>24.646145818949666</v>
      </c>
      <c r="G94" s="60">
        <f t="shared" si="19"/>
        <v>22.937701520592544</v>
      </c>
      <c r="H94" s="60">
        <f t="shared" si="19"/>
        <v>21.395407407571874</v>
      </c>
      <c r="I94" s="60">
        <f t="shared" si="19"/>
        <v>20.00042849463085</v>
      </c>
      <c r="J94" s="60">
        <f t="shared" si="19"/>
        <v>18.73627575977081</v>
      </c>
      <c r="K94" s="60">
        <f t="shared" si="19"/>
        <v>17.588493558331244</v>
      </c>
      <c r="L94" s="60">
        <f t="shared" si="19"/>
        <v>16.544390951472558</v>
      </c>
      <c r="M94" s="60">
        <f t="shared" si="19"/>
        <v>15.59281050179318</v>
      </c>
      <c r="N94" s="60">
        <f t="shared" si="19"/>
        <v>14.723929072153611</v>
      </c>
      <c r="O94" s="60">
        <f t="shared" si="19"/>
        <v>13.92908599197116</v>
      </c>
      <c r="P94" s="60">
        <f t="shared" si="19"/>
        <v>13.20063465352383</v>
      </c>
      <c r="Q94" s="60">
        <f t="shared" si="19"/>
        <v>12.53181419019239</v>
      </c>
      <c r="R94" s="60">
        <f t="shared" si="19"/>
        <v>11.916638386588033</v>
      </c>
      <c r="S94" s="60">
        <f t="shared" si="19"/>
        <v>11.349799391784707</v>
      </c>
      <c r="T94" s="60">
        <f t="shared" si="17"/>
        <v>10.8265841636072</v>
      </c>
      <c r="U94" s="60">
        <f t="shared" si="17"/>
        <v>10.342801874331876</v>
      </c>
      <c r="V94" s="60">
        <f t="shared" si="17"/>
        <v>9.894720764782122</v>
      </c>
      <c r="W94" s="60">
        <f t="shared" si="17"/>
        <v>9.479013151807564</v>
      </c>
      <c r="X94" s="60">
        <f t="shared" si="17"/>
        <v>9.092707479531727</v>
      </c>
      <c r="Y94" s="60">
        <f t="shared" si="17"/>
        <v>8.733146462582093</v>
      </c>
      <c r="Z94" s="60">
        <f t="shared" si="17"/>
        <v>8.397950504018336</v>
      </c>
      <c r="AA94" s="60">
        <f t="shared" si="17"/>
        <v>8.084985685417287</v>
      </c>
      <c r="AB94" s="61">
        <f t="shared" si="16"/>
        <v>31</v>
      </c>
    </row>
    <row r="95" spans="3:28" ht="12.75">
      <c r="C95" s="59">
        <v>32</v>
      </c>
      <c r="D95" s="60">
        <f t="shared" si="19"/>
        <v>29.503283547538786</v>
      </c>
      <c r="E95" s="60">
        <f t="shared" si="19"/>
        <v>27.269589472882657</v>
      </c>
      <c r="F95" s="60">
        <f t="shared" si="19"/>
        <v>25.267138737881435</v>
      </c>
      <c r="G95" s="60">
        <f t="shared" si="19"/>
        <v>23.46833482411034</v>
      </c>
      <c r="H95" s="60">
        <f t="shared" si="19"/>
        <v>21.849177958606703</v>
      </c>
      <c r="I95" s="60">
        <f t="shared" si="19"/>
        <v>20.38876552876781</v>
      </c>
      <c r="J95" s="60">
        <f t="shared" si="19"/>
        <v>19.06886546837759</v>
      </c>
      <c r="K95" s="60">
        <f t="shared" si="19"/>
        <v>17.873551498395425</v>
      </c>
      <c r="L95" s="60">
        <f t="shared" si="19"/>
        <v>16.78889086265316</v>
      </c>
      <c r="M95" s="60">
        <f t="shared" si="19"/>
        <v>15.802676668374456</v>
      </c>
      <c r="N95" s="60">
        <f t="shared" si="19"/>
        <v>14.904198172657452</v>
      </c>
      <c r="O95" s="60">
        <f t="shared" si="19"/>
        <v>14.084043388652038</v>
      </c>
      <c r="P95" s="60">
        <f t="shared" si="19"/>
        <v>13.33392925213505</v>
      </c>
      <c r="Q95" s="60">
        <f t="shared" si="19"/>
        <v>12.646555317936816</v>
      </c>
      <c r="R95" s="60">
        <f t="shared" si="19"/>
        <v>12.0154775689191</v>
      </c>
      <c r="S95" s="60">
        <f t="shared" si="19"/>
        <v>11.434999436837693</v>
      </c>
      <c r="T95" s="60">
        <f aca="true" t="shared" si="20" ref="T95:AA110">PV(T$63,$C95,-$B$64)</f>
        <v>10.900077570144882</v>
      </c>
      <c r="U95" s="60">
        <f t="shared" si="20"/>
        <v>10.406240251680618</v>
      </c>
      <c r="V95" s="60">
        <f t="shared" si="20"/>
        <v>9.949516680166322</v>
      </c>
      <c r="W95" s="60">
        <f t="shared" si="20"/>
        <v>9.52637559255233</v>
      </c>
      <c r="X95" s="60">
        <f t="shared" si="20"/>
        <v>9.133671927178034</v>
      </c>
      <c r="Y95" s="60">
        <f t="shared" si="20"/>
        <v>8.768600416740624</v>
      </c>
      <c r="Z95" s="60">
        <f t="shared" si="20"/>
        <v>8.428655160554563</v>
      </c>
      <c r="AA95" s="60">
        <f t="shared" si="20"/>
        <v>8.111594361979723</v>
      </c>
      <c r="AB95" s="61">
        <f t="shared" si="16"/>
        <v>32</v>
      </c>
    </row>
    <row r="96" spans="3:28" ht="12.75">
      <c r="C96" s="59">
        <v>33</v>
      </c>
      <c r="D96" s="60">
        <f t="shared" si="19"/>
        <v>30.35152591794901</v>
      </c>
      <c r="E96" s="60">
        <f t="shared" si="19"/>
        <v>27.989692547408573</v>
      </c>
      <c r="F96" s="60">
        <f t="shared" si="19"/>
        <v>25.87895442155806</v>
      </c>
      <c r="G96" s="60">
        <f t="shared" si="19"/>
        <v>23.988563553049357</v>
      </c>
      <c r="H96" s="60">
        <f t="shared" si="19"/>
        <v>22.29188093522605</v>
      </c>
      <c r="I96" s="60">
        <f t="shared" si="19"/>
        <v>20.76579177550273</v>
      </c>
      <c r="J96" s="60">
        <f t="shared" si="19"/>
        <v>19.39020818200733</v>
      </c>
      <c r="K96" s="60">
        <f t="shared" si="19"/>
        <v>18.147645671534065</v>
      </c>
      <c r="L96" s="60">
        <f t="shared" si="19"/>
        <v>17.022862069524557</v>
      </c>
      <c r="M96" s="60">
        <f t="shared" si="19"/>
        <v>16.002549207975672</v>
      </c>
      <c r="N96" s="60">
        <f t="shared" si="19"/>
        <v>15.075069357969147</v>
      </c>
      <c r="O96" s="60">
        <f t="shared" si="19"/>
        <v>14.230229611935883</v>
      </c>
      <c r="P96" s="60">
        <f t="shared" si="19"/>
        <v>13.459088499657323</v>
      </c>
      <c r="Q96" s="60">
        <f t="shared" si="19"/>
        <v>12.753790016763377</v>
      </c>
      <c r="R96" s="60">
        <f t="shared" si="19"/>
        <v>12.10742099434335</v>
      </c>
      <c r="S96" s="60">
        <f aca="true" t="shared" si="21" ref="S96:S111">PV(S$63,$C96,-$B$64)</f>
        <v>11.513888367442307</v>
      </c>
      <c r="T96" s="60">
        <f t="shared" si="20"/>
        <v>10.967813428704961</v>
      </c>
      <c r="U96" s="60">
        <f t="shared" si="20"/>
        <v>10.464440597872127</v>
      </c>
      <c r="V96" s="60">
        <f t="shared" si="20"/>
        <v>9.999558612024039</v>
      </c>
      <c r="W96" s="60">
        <f t="shared" si="20"/>
        <v>9.569432356865756</v>
      </c>
      <c r="X96" s="60">
        <f t="shared" si="20"/>
        <v>9.170743825500484</v>
      </c>
      <c r="Y96" s="60">
        <f t="shared" si="20"/>
        <v>8.800540915982543</v>
      </c>
      <c r="Z96" s="60">
        <f t="shared" si="20"/>
        <v>8.45619296910723</v>
      </c>
      <c r="AA96" s="60">
        <f t="shared" si="20"/>
        <v>8.135352108910466</v>
      </c>
      <c r="AB96" s="61">
        <f t="shared" si="16"/>
        <v>33</v>
      </c>
    </row>
    <row r="97" spans="3:28" ht="12.75">
      <c r="C97" s="59">
        <v>34</v>
      </c>
      <c r="D97" s="60">
        <f aca="true" t="shared" si="22" ref="D97:S112">PV(D$63,$C97,-$B$64)</f>
        <v>31.195548177063674</v>
      </c>
      <c r="E97" s="60">
        <f t="shared" si="22"/>
        <v>28.70266588852334</v>
      </c>
      <c r="F97" s="60">
        <f t="shared" si="22"/>
        <v>26.481728494145862</v>
      </c>
      <c r="G97" s="60">
        <f t="shared" si="22"/>
        <v>24.498591718675836</v>
      </c>
      <c r="H97" s="60">
        <f t="shared" si="22"/>
        <v>22.72378627826932</v>
      </c>
      <c r="I97" s="60">
        <f t="shared" si="22"/>
        <v>21.131836675245367</v>
      </c>
      <c r="J97" s="60">
        <f t="shared" si="22"/>
        <v>19.70068423382351</v>
      </c>
      <c r="K97" s="60">
        <f t="shared" si="22"/>
        <v>18.411197761090445</v>
      </c>
      <c r="L97" s="60">
        <f t="shared" si="22"/>
        <v>17.24675796126752</v>
      </c>
      <c r="M97" s="60">
        <f t="shared" si="22"/>
        <v>16.192904007595878</v>
      </c>
      <c r="N97" s="60">
        <f t="shared" si="22"/>
        <v>15.2370325667954</v>
      </c>
      <c r="O97" s="60">
        <f t="shared" si="22"/>
        <v>14.368141143335741</v>
      </c>
      <c r="P97" s="60">
        <f t="shared" si="22"/>
        <v>13.57660891986603</v>
      </c>
      <c r="Q97" s="60">
        <f t="shared" si="22"/>
        <v>12.8540093614611</v>
      </c>
      <c r="R97" s="60">
        <f t="shared" si="22"/>
        <v>12.192949762179861</v>
      </c>
      <c r="S97" s="60">
        <f t="shared" si="21"/>
        <v>11.586933673557692</v>
      </c>
      <c r="T97" s="60">
        <f t="shared" si="20"/>
        <v>11.030242791433144</v>
      </c>
      <c r="U97" s="60">
        <f t="shared" si="20"/>
        <v>10.517835410891859</v>
      </c>
      <c r="V97" s="60">
        <f t="shared" si="20"/>
        <v>10.045259006414646</v>
      </c>
      <c r="W97" s="60">
        <f t="shared" si="20"/>
        <v>9.608574869877959</v>
      </c>
      <c r="X97" s="60">
        <f t="shared" si="20"/>
        <v>9.204293054751568</v>
      </c>
      <c r="Y97" s="60">
        <f t="shared" si="20"/>
        <v>8.829316140524814</v>
      </c>
      <c r="Z97" s="60">
        <f t="shared" si="20"/>
        <v>8.48089055525312</v>
      </c>
      <c r="AA97" s="60">
        <f t="shared" si="20"/>
        <v>8.156564382955773</v>
      </c>
      <c r="AB97" s="61">
        <f t="shared" si="16"/>
        <v>34</v>
      </c>
    </row>
    <row r="98" spans="3:28" ht="13.5" thickBot="1">
      <c r="C98" s="72">
        <v>35</v>
      </c>
      <c r="D98" s="73">
        <f t="shared" si="22"/>
        <v>32.03537132046136</v>
      </c>
      <c r="E98" s="73">
        <f t="shared" si="22"/>
        <v>29.40858008764686</v>
      </c>
      <c r="F98" s="73">
        <f t="shared" si="22"/>
        <v>27.07559457551317</v>
      </c>
      <c r="G98" s="73">
        <f t="shared" si="22"/>
        <v>24.998619332035133</v>
      </c>
      <c r="H98" s="73">
        <f t="shared" si="22"/>
        <v>23.14515734465299</v>
      </c>
      <c r="I98" s="73">
        <f t="shared" si="22"/>
        <v>21.487220073053756</v>
      </c>
      <c r="J98" s="73">
        <f t="shared" si="22"/>
        <v>20.00066109548165</v>
      </c>
      <c r="K98" s="73">
        <f t="shared" si="22"/>
        <v>18.664613231817736</v>
      </c>
      <c r="L98" s="73">
        <f t="shared" si="22"/>
        <v>17.461012403126812</v>
      </c>
      <c r="M98" s="73">
        <f t="shared" si="22"/>
        <v>16.374194292948456</v>
      </c>
      <c r="N98" s="73">
        <f t="shared" si="22"/>
        <v>15.390552196014596</v>
      </c>
      <c r="O98" s="73">
        <f t="shared" si="22"/>
        <v>14.498246361637491</v>
      </c>
      <c r="P98" s="73">
        <f t="shared" si="22"/>
        <v>13.686956732268573</v>
      </c>
      <c r="Q98" s="73">
        <f t="shared" si="22"/>
        <v>12.947672300430934</v>
      </c>
      <c r="R98" s="73">
        <f t="shared" si="22"/>
        <v>12.27251140667894</v>
      </c>
      <c r="S98" s="73">
        <f t="shared" si="21"/>
        <v>11.654568216257124</v>
      </c>
      <c r="T98" s="73">
        <f t="shared" si="20"/>
        <v>11.087781374592758</v>
      </c>
      <c r="U98" s="73">
        <f t="shared" si="20"/>
        <v>10.56682147788244</v>
      </c>
      <c r="V98" s="73">
        <f t="shared" si="20"/>
        <v>10.08699452640607</v>
      </c>
      <c r="W98" s="73">
        <f t="shared" si="20"/>
        <v>9.644158972616326</v>
      </c>
      <c r="X98" s="73">
        <f t="shared" si="20"/>
        <v>9.234654348191466</v>
      </c>
      <c r="Y98" s="73">
        <f t="shared" si="20"/>
        <v>8.855239766238572</v>
      </c>
      <c r="Z98" s="73">
        <f t="shared" si="20"/>
        <v>8.503040856729257</v>
      </c>
      <c r="AA98" s="73">
        <f t="shared" si="20"/>
        <v>8.175503913353369</v>
      </c>
      <c r="AB98" s="74">
        <f t="shared" si="16"/>
        <v>35</v>
      </c>
    </row>
    <row r="99" spans="3:28" ht="13.5" thickTop="1">
      <c r="C99" s="59">
        <v>36</v>
      </c>
      <c r="D99" s="60">
        <f t="shared" si="22"/>
        <v>32.87101623926498</v>
      </c>
      <c r="E99" s="60">
        <f t="shared" si="22"/>
        <v>30.107505037274127</v>
      </c>
      <c r="F99" s="60">
        <f t="shared" si="22"/>
        <v>27.660684310850403</v>
      </c>
      <c r="G99" s="60">
        <f t="shared" si="22"/>
        <v>25.488842482387383</v>
      </c>
      <c r="H99" s="60">
        <f t="shared" si="22"/>
        <v>23.556251067954136</v>
      </c>
      <c r="I99" s="60">
        <f t="shared" si="22"/>
        <v>21.832252498110442</v>
      </c>
      <c r="J99" s="60">
        <f t="shared" si="22"/>
        <v>20.290493812059566</v>
      </c>
      <c r="K99" s="60">
        <f t="shared" si="22"/>
        <v>18.908281953670897</v>
      </c>
      <c r="L99" s="60">
        <f t="shared" si="22"/>
        <v>17.666040577154842</v>
      </c>
      <c r="M99" s="60">
        <f t="shared" si="22"/>
        <v>16.546851707569957</v>
      </c>
      <c r="N99" s="60">
        <f t="shared" si="22"/>
        <v>15.536068432241326</v>
      </c>
      <c r="O99" s="60">
        <f t="shared" si="22"/>
        <v>14.620987133620275</v>
      </c>
      <c r="P99" s="60">
        <f t="shared" si="22"/>
        <v>13.790569701660631</v>
      </c>
      <c r="Q99" s="60">
        <f t="shared" si="22"/>
        <v>13.035207757412088</v>
      </c>
      <c r="R99" s="60">
        <f t="shared" si="22"/>
        <v>12.346522238771106</v>
      </c>
      <c r="S99" s="60">
        <f t="shared" si="21"/>
        <v>11.71719279283067</v>
      </c>
      <c r="T99" s="60">
        <f t="shared" si="20"/>
        <v>11.140812326813604</v>
      </c>
      <c r="U99" s="60">
        <f t="shared" si="20"/>
        <v>10.611762823745359</v>
      </c>
      <c r="V99" s="60">
        <f t="shared" si="20"/>
        <v>10.125109156535222</v>
      </c>
      <c r="W99" s="60">
        <f t="shared" si="20"/>
        <v>9.676508156923934</v>
      </c>
      <c r="X99" s="60">
        <f t="shared" si="20"/>
        <v>9.262130631847478</v>
      </c>
      <c r="Y99" s="60">
        <f t="shared" si="20"/>
        <v>8.878594383998713</v>
      </c>
      <c r="Z99" s="60">
        <f t="shared" si="20"/>
        <v>8.522906597963459</v>
      </c>
      <c r="AA99" s="60">
        <f t="shared" si="20"/>
        <v>8.192414208351222</v>
      </c>
      <c r="AB99" s="61">
        <f t="shared" si="16"/>
        <v>36</v>
      </c>
    </row>
    <row r="100" spans="3:28" ht="12.75">
      <c r="C100" s="59">
        <v>37</v>
      </c>
      <c r="D100" s="60">
        <f t="shared" si="22"/>
        <v>33.70250372066164</v>
      </c>
      <c r="E100" s="60">
        <f t="shared" si="22"/>
        <v>30.799509937895177</v>
      </c>
      <c r="F100" s="60">
        <f t="shared" si="22"/>
        <v>28.237127399852607</v>
      </c>
      <c r="G100" s="60">
        <f t="shared" si="22"/>
        <v>25.96945341410528</v>
      </c>
      <c r="H100" s="60">
        <f t="shared" si="22"/>
        <v>23.957318115077207</v>
      </c>
      <c r="I100" s="60">
        <f t="shared" si="22"/>
        <v>22.167235435058682</v>
      </c>
      <c r="J100" s="60">
        <f t="shared" si="22"/>
        <v>20.570525422279772</v>
      </c>
      <c r="K100" s="60">
        <f t="shared" si="22"/>
        <v>19.142578801606636</v>
      </c>
      <c r="L100" s="60">
        <f t="shared" si="22"/>
        <v>17.862239786751047</v>
      </c>
      <c r="M100" s="60">
        <f t="shared" si="22"/>
        <v>16.711287340542818</v>
      </c>
      <c r="N100" s="60">
        <f t="shared" si="22"/>
        <v>15.67399851397282</v>
      </c>
      <c r="O100" s="60">
        <f t="shared" si="22"/>
        <v>14.736780314736109</v>
      </c>
      <c r="P100" s="60">
        <f t="shared" si="22"/>
        <v>13.887858874798717</v>
      </c>
      <c r="Q100" s="60">
        <f t="shared" si="22"/>
        <v>13.117016595712233</v>
      </c>
      <c r="R100" s="60">
        <f t="shared" si="22"/>
        <v>12.415369524438237</v>
      </c>
      <c r="S100" s="60">
        <f t="shared" si="21"/>
        <v>11.77517851188025</v>
      </c>
      <c r="T100" s="60">
        <f t="shared" si="20"/>
        <v>11.189688780473366</v>
      </c>
      <c r="U100" s="60">
        <f t="shared" si="20"/>
        <v>10.652993416280145</v>
      </c>
      <c r="V100" s="60">
        <f t="shared" si="20"/>
        <v>10.159917037931711</v>
      </c>
      <c r="W100" s="60">
        <f t="shared" si="20"/>
        <v>9.705916506294484</v>
      </c>
      <c r="X100" s="60">
        <f t="shared" si="20"/>
        <v>9.286996046920796</v>
      </c>
      <c r="Y100" s="60">
        <f t="shared" si="20"/>
        <v>8.89963458017902</v>
      </c>
      <c r="Z100" s="60">
        <f t="shared" si="20"/>
        <v>8.540723406245254</v>
      </c>
      <c r="AA100" s="60">
        <f t="shared" si="20"/>
        <v>8.207512686027878</v>
      </c>
      <c r="AB100" s="61">
        <f t="shared" si="16"/>
        <v>37</v>
      </c>
    </row>
    <row r="101" spans="3:28" ht="12.75">
      <c r="C101" s="59">
        <v>38</v>
      </c>
      <c r="D101" s="60">
        <f t="shared" si="22"/>
        <v>34.52985444841953</v>
      </c>
      <c r="E101" s="60">
        <f t="shared" si="22"/>
        <v>31.484663304846716</v>
      </c>
      <c r="F101" s="60">
        <f t="shared" si="22"/>
        <v>28.805051625470547</v>
      </c>
      <c r="G101" s="60">
        <f t="shared" si="22"/>
        <v>26.440640602064004</v>
      </c>
      <c r="H101" s="60">
        <f t="shared" si="22"/>
        <v>24.34860303909971</v>
      </c>
      <c r="I101" s="60">
        <f t="shared" si="22"/>
        <v>22.492461587435614</v>
      </c>
      <c r="J101" s="60">
        <f t="shared" si="22"/>
        <v>20.84108736452152</v>
      </c>
      <c r="K101" s="60">
        <f t="shared" si="22"/>
        <v>19.367864232314073</v>
      </c>
      <c r="L101" s="60">
        <f t="shared" si="22"/>
        <v>18.049990226556023</v>
      </c>
      <c r="M101" s="60">
        <f t="shared" si="22"/>
        <v>16.867892705278873</v>
      </c>
      <c r="N101" s="60">
        <f t="shared" si="22"/>
        <v>15.804737927936321</v>
      </c>
      <c r="O101" s="60">
        <f t="shared" si="22"/>
        <v>14.846019164845387</v>
      </c>
      <c r="P101" s="60">
        <f t="shared" si="22"/>
        <v>13.979210211078605</v>
      </c>
      <c r="Q101" s="60">
        <f t="shared" si="22"/>
        <v>13.193473453936665</v>
      </c>
      <c r="R101" s="60">
        <f t="shared" si="22"/>
        <v>12.479413511105337</v>
      </c>
      <c r="S101" s="60">
        <f t="shared" si="21"/>
        <v>11.828868992481713</v>
      </c>
      <c r="T101" s="60">
        <f t="shared" si="20"/>
        <v>11.23473620320126</v>
      </c>
      <c r="U101" s="60">
        <f t="shared" si="20"/>
        <v>10.690819647963435</v>
      </c>
      <c r="V101" s="60">
        <f t="shared" si="20"/>
        <v>10.191705057471882</v>
      </c>
      <c r="W101" s="60">
        <f t="shared" si="20"/>
        <v>9.732651369358623</v>
      </c>
      <c r="X101" s="60">
        <f t="shared" si="20"/>
        <v>9.309498684996196</v>
      </c>
      <c r="Y101" s="60">
        <f t="shared" si="20"/>
        <v>8.918589711872992</v>
      </c>
      <c r="Z101" s="60">
        <f t="shared" si="20"/>
        <v>8.556702606497986</v>
      </c>
      <c r="AA101" s="60">
        <f t="shared" si="20"/>
        <v>8.220993469667746</v>
      </c>
      <c r="AB101" s="61">
        <f t="shared" si="16"/>
        <v>38</v>
      </c>
    </row>
    <row r="102" spans="3:28" ht="12.75">
      <c r="C102" s="59">
        <v>39</v>
      </c>
      <c r="D102" s="60">
        <f t="shared" si="22"/>
        <v>35.353089003402495</v>
      </c>
      <c r="E102" s="60">
        <f t="shared" si="22"/>
        <v>32.16303297509574</v>
      </c>
      <c r="F102" s="60">
        <f t="shared" si="22"/>
        <v>29.36458288223698</v>
      </c>
      <c r="G102" s="60">
        <f t="shared" si="22"/>
        <v>26.902588825552936</v>
      </c>
      <c r="H102" s="60">
        <f t="shared" si="22"/>
        <v>24.73034442838996</v>
      </c>
      <c r="I102" s="60">
        <f t="shared" si="22"/>
        <v>22.808215133432636</v>
      </c>
      <c r="J102" s="60">
        <f t="shared" si="22"/>
        <v>21.102499869102918</v>
      </c>
      <c r="K102" s="60">
        <f t="shared" si="22"/>
        <v>19.58448483876353</v>
      </c>
      <c r="L102" s="60">
        <f t="shared" si="22"/>
        <v>18.22965571919237</v>
      </c>
      <c r="M102" s="60">
        <f t="shared" si="22"/>
        <v>17.017040671694165</v>
      </c>
      <c r="N102" s="60">
        <f t="shared" si="22"/>
        <v>15.928661543067603</v>
      </c>
      <c r="O102" s="60">
        <f t="shared" si="22"/>
        <v>14.949074683816402</v>
      </c>
      <c r="P102" s="60">
        <f t="shared" si="22"/>
        <v>14.064986113688832</v>
      </c>
      <c r="Q102" s="60">
        <f t="shared" si="22"/>
        <v>13.264928461623052</v>
      </c>
      <c r="R102" s="60">
        <f t="shared" si="22"/>
        <v>12.53898931265613</v>
      </c>
      <c r="S102" s="60">
        <f t="shared" si="21"/>
        <v>11.87858240044603</v>
      </c>
      <c r="T102" s="60">
        <f t="shared" si="20"/>
        <v>11.27625456516245</v>
      </c>
      <c r="U102" s="60">
        <f t="shared" si="20"/>
        <v>10.725522612810492</v>
      </c>
      <c r="V102" s="60">
        <f t="shared" si="20"/>
        <v>10.220735212303088</v>
      </c>
      <c r="W102" s="60">
        <f t="shared" si="20"/>
        <v>9.756955790326021</v>
      </c>
      <c r="X102" s="60">
        <f t="shared" si="20"/>
        <v>9.329863063344973</v>
      </c>
      <c r="Y102" s="60">
        <f t="shared" si="20"/>
        <v>8.935666407092784</v>
      </c>
      <c r="Z102" s="60">
        <f t="shared" si="20"/>
        <v>8.571033727800884</v>
      </c>
      <c r="AA102" s="60">
        <f t="shared" si="20"/>
        <v>8.233029883631916</v>
      </c>
      <c r="AB102" s="61">
        <f t="shared" si="16"/>
        <v>39</v>
      </c>
    </row>
    <row r="103" spans="3:28" ht="13.5" thickBot="1">
      <c r="C103" s="72">
        <v>40</v>
      </c>
      <c r="D103" s="73">
        <f t="shared" si="22"/>
        <v>36.172227864082075</v>
      </c>
      <c r="E103" s="73">
        <f t="shared" si="22"/>
        <v>32.834686113956195</v>
      </c>
      <c r="F103" s="73">
        <f t="shared" si="22"/>
        <v>29.915845204174367</v>
      </c>
      <c r="G103" s="73">
        <f t="shared" si="22"/>
        <v>27.35547924073818</v>
      </c>
      <c r="H103" s="73">
        <f t="shared" si="22"/>
        <v>25.102775052087765</v>
      </c>
      <c r="I103" s="73">
        <f t="shared" si="22"/>
        <v>23.114771974206437</v>
      </c>
      <c r="J103" s="73">
        <f t="shared" si="22"/>
        <v>21.3550723372975</v>
      </c>
      <c r="K103" s="73">
        <f t="shared" si="22"/>
        <v>19.792773883426474</v>
      </c>
      <c r="L103" s="73">
        <f t="shared" si="22"/>
        <v>18.40158442027978</v>
      </c>
      <c r="M103" s="73">
        <f t="shared" si="22"/>
        <v>17.159086353994443</v>
      </c>
      <c r="N103" s="73">
        <f t="shared" si="22"/>
        <v>16.046124685372135</v>
      </c>
      <c r="O103" s="73">
        <f t="shared" si="22"/>
        <v>15.046296871524907</v>
      </c>
      <c r="P103" s="73">
        <f t="shared" si="22"/>
        <v>14.145526867313457</v>
      </c>
      <c r="Q103" s="73">
        <f t="shared" si="22"/>
        <v>13.331708842638367</v>
      </c>
      <c r="R103" s="73">
        <f t="shared" si="22"/>
        <v>12.594408662935933</v>
      </c>
      <c r="S103" s="73">
        <f t="shared" si="21"/>
        <v>11.924613333746326</v>
      </c>
      <c r="T103" s="73">
        <f t="shared" si="20"/>
        <v>11.314520336555255</v>
      </c>
      <c r="U103" s="73">
        <f t="shared" si="20"/>
        <v>10.757360195238983</v>
      </c>
      <c r="V103" s="73">
        <f t="shared" si="20"/>
        <v>10.247246769226566</v>
      </c>
      <c r="W103" s="73">
        <f t="shared" si="20"/>
        <v>9.7790507184782</v>
      </c>
      <c r="X103" s="73">
        <f t="shared" si="20"/>
        <v>9.348292365018075</v>
      </c>
      <c r="Y103" s="73">
        <f t="shared" si="20"/>
        <v>8.951050817200707</v>
      </c>
      <c r="Z103" s="73">
        <f t="shared" si="20"/>
        <v>8.583886751390926</v>
      </c>
      <c r="AA103" s="73">
        <f t="shared" si="20"/>
        <v>8.243776681814213</v>
      </c>
      <c r="AB103" s="74">
        <f t="shared" si="16"/>
        <v>40</v>
      </c>
    </row>
    <row r="104" spans="3:28" ht="13.5" thickTop="1">
      <c r="C104" s="59">
        <v>41</v>
      </c>
      <c r="D104" s="60">
        <f t="shared" si="22"/>
        <v>36.98729140704682</v>
      </c>
      <c r="E104" s="60">
        <f t="shared" si="22"/>
        <v>33.49968922173881</v>
      </c>
      <c r="F104" s="60">
        <f t="shared" si="22"/>
        <v>30.45896079229001</v>
      </c>
      <c r="G104" s="60">
        <f t="shared" si="22"/>
        <v>27.799489451704098</v>
      </c>
      <c r="H104" s="60">
        <f t="shared" si="22"/>
        <v>25.466122002036844</v>
      </c>
      <c r="I104" s="60">
        <f t="shared" si="22"/>
        <v>23.41239997495771</v>
      </c>
      <c r="J104" s="60">
        <f t="shared" si="22"/>
        <v>21.599103707533818</v>
      </c>
      <c r="K104" s="60">
        <f t="shared" si="22"/>
        <v>19.993051810986994</v>
      </c>
      <c r="L104" s="60">
        <f t="shared" si="22"/>
        <v>18.566109493090696</v>
      </c>
      <c r="M104" s="60">
        <f t="shared" si="22"/>
        <v>17.294367956185184</v>
      </c>
      <c r="N104" s="60">
        <f t="shared" si="22"/>
        <v>16.15746415675084</v>
      </c>
      <c r="O104" s="60">
        <f t="shared" si="22"/>
        <v>15.13801591653293</v>
      </c>
      <c r="P104" s="60">
        <f t="shared" si="22"/>
        <v>14.221151988087753</v>
      </c>
      <c r="Q104" s="60">
        <f t="shared" si="22"/>
        <v>13.394120413680715</v>
      </c>
      <c r="R104" s="60">
        <f t="shared" si="22"/>
        <v>12.645961546917146</v>
      </c>
      <c r="S104" s="60">
        <f t="shared" si="21"/>
        <v>11.967234568283633</v>
      </c>
      <c r="T104" s="60">
        <f t="shared" si="20"/>
        <v>11.349788328622354</v>
      </c>
      <c r="U104" s="60">
        <f t="shared" si="20"/>
        <v>10.786568986457784</v>
      </c>
      <c r="V104" s="60">
        <f t="shared" si="20"/>
        <v>10.271458236736589</v>
      </c>
      <c r="W104" s="60">
        <f t="shared" si="20"/>
        <v>9.799137016798364</v>
      </c>
      <c r="X104" s="60">
        <f t="shared" si="20"/>
        <v>9.364970466079706</v>
      </c>
      <c r="Y104" s="60">
        <f t="shared" si="20"/>
        <v>8.964910646126762</v>
      </c>
      <c r="Z104" s="60">
        <f t="shared" si="20"/>
        <v>8.595414126808008</v>
      </c>
      <c r="AA104" s="60">
        <f t="shared" si="20"/>
        <v>8.253372037334117</v>
      </c>
      <c r="AB104" s="61">
        <f t="shared" si="16"/>
        <v>41</v>
      </c>
    </row>
    <row r="105" spans="3:28" ht="12.75">
      <c r="C105" s="59">
        <v>42</v>
      </c>
      <c r="D105" s="60">
        <f t="shared" si="22"/>
        <v>37.79829990750923</v>
      </c>
      <c r="E105" s="60">
        <f t="shared" si="22"/>
        <v>34.158108140335464</v>
      </c>
      <c r="F105" s="60">
        <f t="shared" si="22"/>
        <v>30.99405004166503</v>
      </c>
      <c r="G105" s="60">
        <f t="shared" si="22"/>
        <v>28.234793580102053</v>
      </c>
      <c r="H105" s="60">
        <f t="shared" si="22"/>
        <v>25.820606831255457</v>
      </c>
      <c r="I105" s="60">
        <f t="shared" si="22"/>
        <v>23.701359198988065</v>
      </c>
      <c r="J105" s="60">
        <f t="shared" si="22"/>
        <v>21.834882809211418</v>
      </c>
      <c r="K105" s="60">
        <f t="shared" si="22"/>
        <v>20.18562674133365</v>
      </c>
      <c r="L105" s="60">
        <f t="shared" si="22"/>
        <v>18.723549754153776</v>
      </c>
      <c r="M105" s="60">
        <f t="shared" si="22"/>
        <v>17.42320757731922</v>
      </c>
      <c r="N105" s="60">
        <f t="shared" si="22"/>
        <v>16.262999200711697</v>
      </c>
      <c r="O105" s="60">
        <f t="shared" si="22"/>
        <v>15.224543317483896</v>
      </c>
      <c r="P105" s="60">
        <f t="shared" si="22"/>
        <v>14.29216149116221</v>
      </c>
      <c r="Q105" s="60">
        <f t="shared" si="22"/>
        <v>13.452448984748333</v>
      </c>
      <c r="R105" s="60">
        <f t="shared" si="22"/>
        <v>12.693917718062462</v>
      </c>
      <c r="S105" s="60">
        <f t="shared" si="21"/>
        <v>12.006698674336699</v>
      </c>
      <c r="T105" s="60">
        <f t="shared" si="20"/>
        <v>11.382293390435349</v>
      </c>
      <c r="U105" s="60">
        <f t="shared" si="20"/>
        <v>10.81336604262182</v>
      </c>
      <c r="V105" s="60">
        <f t="shared" si="20"/>
        <v>10.293569165969489</v>
      </c>
      <c r="W105" s="60">
        <f t="shared" si="20"/>
        <v>9.817397287998512</v>
      </c>
      <c r="X105" s="60">
        <f t="shared" si="20"/>
        <v>9.38006377020788</v>
      </c>
      <c r="Y105" s="60">
        <f t="shared" si="20"/>
        <v>8.97739697849258</v>
      </c>
      <c r="Z105" s="60">
        <f t="shared" si="20"/>
        <v>8.605752580096867</v>
      </c>
      <c r="AA105" s="60">
        <f t="shared" si="20"/>
        <v>8.26193931904832</v>
      </c>
      <c r="AB105" s="61">
        <f t="shared" si="16"/>
        <v>42</v>
      </c>
    </row>
    <row r="106" spans="3:28" ht="12.75">
      <c r="C106" s="59">
        <v>43</v>
      </c>
      <c r="D106" s="60">
        <f t="shared" si="22"/>
        <v>38.60527353981017</v>
      </c>
      <c r="E106" s="60">
        <f t="shared" si="22"/>
        <v>34.81000805973807</v>
      </c>
      <c r="F106" s="60">
        <f t="shared" si="22"/>
        <v>31.521231568142884</v>
      </c>
      <c r="G106" s="60">
        <f t="shared" si="22"/>
        <v>28.661562333433384</v>
      </c>
      <c r="H106" s="60">
        <f t="shared" si="22"/>
        <v>26.16644568902971</v>
      </c>
      <c r="I106" s="60">
        <f t="shared" si="22"/>
        <v>23.981902134939872</v>
      </c>
      <c r="J106" s="60">
        <f t="shared" si="22"/>
        <v>22.062688704552095</v>
      </c>
      <c r="K106" s="60">
        <f t="shared" si="22"/>
        <v>20.370794943590045</v>
      </c>
      <c r="L106" s="60">
        <f t="shared" si="22"/>
        <v>18.874210291056244</v>
      </c>
      <c r="M106" s="60">
        <f t="shared" si="22"/>
        <v>17.545911978399257</v>
      </c>
      <c r="N106" s="60">
        <f t="shared" si="22"/>
        <v>16.363032417736203</v>
      </c>
      <c r="O106" s="60">
        <f t="shared" si="22"/>
        <v>15.306172941022544</v>
      </c>
      <c r="P106" s="60">
        <f t="shared" si="22"/>
        <v>14.358837080903482</v>
      </c>
      <c r="Q106" s="60">
        <f t="shared" si="22"/>
        <v>13.506961667989096</v>
      </c>
      <c r="R106" s="60">
        <f t="shared" si="22"/>
        <v>12.738528109825547</v>
      </c>
      <c r="S106" s="60">
        <f t="shared" si="21"/>
        <v>12.04323951327472</v>
      </c>
      <c r="T106" s="60">
        <f t="shared" si="20"/>
        <v>11.412251972751474</v>
      </c>
      <c r="U106" s="60">
        <f t="shared" si="20"/>
        <v>10.837950497818182</v>
      </c>
      <c r="V106" s="60">
        <f t="shared" si="20"/>
        <v>10.313761795405926</v>
      </c>
      <c r="W106" s="60">
        <f t="shared" si="20"/>
        <v>9.833997534544102</v>
      </c>
      <c r="X106" s="60">
        <f t="shared" si="20"/>
        <v>9.393722868966405</v>
      </c>
      <c r="Y106" s="60">
        <f t="shared" si="20"/>
        <v>8.988645926569891</v>
      </c>
      <c r="Z106" s="60">
        <f t="shared" si="20"/>
        <v>8.615024735512884</v>
      </c>
      <c r="AA106" s="60">
        <f t="shared" si="20"/>
        <v>8.269588677721714</v>
      </c>
      <c r="AB106" s="61">
        <f t="shared" si="16"/>
        <v>43</v>
      </c>
    </row>
    <row r="107" spans="3:28" ht="12.75">
      <c r="C107" s="59">
        <v>44</v>
      </c>
      <c r="D107" s="60">
        <f t="shared" si="22"/>
        <v>39.40823237792054</v>
      </c>
      <c r="E107" s="60">
        <f t="shared" si="22"/>
        <v>35.45545352449314</v>
      </c>
      <c r="F107" s="60">
        <f t="shared" si="22"/>
        <v>32.04062223462352</v>
      </c>
      <c r="G107" s="60">
        <f t="shared" si="22"/>
        <v>29.079963071993518</v>
      </c>
      <c r="H107" s="60">
        <f t="shared" si="22"/>
        <v>26.503849452711915</v>
      </c>
      <c r="I107" s="60">
        <f t="shared" si="22"/>
        <v>24.254273917417347</v>
      </c>
      <c r="J107" s="60">
        <f t="shared" si="22"/>
        <v>22.28279101889091</v>
      </c>
      <c r="K107" s="60">
        <f t="shared" si="22"/>
        <v>20.548841291913508</v>
      </c>
      <c r="L107" s="60">
        <f t="shared" si="22"/>
        <v>19.018383053642335</v>
      </c>
      <c r="M107" s="60">
        <f t="shared" si="22"/>
        <v>17.6627733127612</v>
      </c>
      <c r="N107" s="60">
        <f t="shared" si="22"/>
        <v>16.45785063292531</v>
      </c>
      <c r="O107" s="60">
        <f t="shared" si="22"/>
        <v>15.38318201983259</v>
      </c>
      <c r="P107" s="60">
        <f t="shared" si="22"/>
        <v>14.421443268453974</v>
      </c>
      <c r="Q107" s="60">
        <f t="shared" si="22"/>
        <v>13.55790810092439</v>
      </c>
      <c r="R107" s="60">
        <f t="shared" si="22"/>
        <v>12.780026148674926</v>
      </c>
      <c r="S107" s="60">
        <f t="shared" si="21"/>
        <v>12.07707362340252</v>
      </c>
      <c r="T107" s="60">
        <f t="shared" si="20"/>
        <v>11.439863569356197</v>
      </c>
      <c r="U107" s="60">
        <f t="shared" si="20"/>
        <v>10.860505043869892</v>
      </c>
      <c r="V107" s="60">
        <f t="shared" si="20"/>
        <v>10.332202552882123</v>
      </c>
      <c r="W107" s="60">
        <f t="shared" si="20"/>
        <v>9.849088667767367</v>
      </c>
      <c r="X107" s="60">
        <f t="shared" si="20"/>
        <v>9.40608404431349</v>
      </c>
      <c r="Y107" s="60">
        <f t="shared" si="20"/>
        <v>8.99878011402693</v>
      </c>
      <c r="Z107" s="60">
        <f t="shared" si="20"/>
        <v>8.623340569966714</v>
      </c>
      <c r="AA107" s="60">
        <f t="shared" si="20"/>
        <v>8.27641846225153</v>
      </c>
      <c r="AB107" s="61">
        <f t="shared" si="16"/>
        <v>44</v>
      </c>
    </row>
    <row r="108" spans="3:28" ht="13.5" thickBot="1">
      <c r="C108" s="72">
        <v>45</v>
      </c>
      <c r="D108" s="73">
        <f t="shared" si="22"/>
        <v>40.2071963959408</v>
      </c>
      <c r="E108" s="73">
        <f t="shared" si="22"/>
        <v>36.09450844009222</v>
      </c>
      <c r="F108" s="73">
        <f t="shared" si="22"/>
        <v>32.55233717696899</v>
      </c>
      <c r="G108" s="73">
        <f t="shared" si="22"/>
        <v>29.490159874503448</v>
      </c>
      <c r="H108" s="73">
        <f t="shared" si="22"/>
        <v>26.833023856304305</v>
      </c>
      <c r="I108" s="73">
        <f t="shared" si="22"/>
        <v>24.518712541181895</v>
      </c>
      <c r="J108" s="73">
        <f t="shared" si="22"/>
        <v>22.495450259797984</v>
      </c>
      <c r="K108" s="73">
        <f t="shared" si="22"/>
        <v>20.72003970376299</v>
      </c>
      <c r="L108" s="73">
        <f t="shared" si="22"/>
        <v>19.156347419753434</v>
      </c>
      <c r="M108" s="73">
        <f t="shared" si="22"/>
        <v>17.774069821677333</v>
      </c>
      <c r="N108" s="73">
        <f t="shared" si="22"/>
        <v>16.547725718412618</v>
      </c>
      <c r="O108" s="73">
        <f t="shared" si="22"/>
        <v>15.45583209418169</v>
      </c>
      <c r="P108" s="73">
        <f t="shared" si="22"/>
        <v>14.480228421083545</v>
      </c>
      <c r="Q108" s="73">
        <f t="shared" si="22"/>
        <v>13.60552158964896</v>
      </c>
      <c r="R108" s="73">
        <f t="shared" si="22"/>
        <v>12.818628975511562</v>
      </c>
      <c r="S108" s="73">
        <f t="shared" si="21"/>
        <v>12.10840150315048</v>
      </c>
      <c r="T108" s="73">
        <f t="shared" si="20"/>
        <v>11.465312045489583</v>
      </c>
      <c r="U108" s="73">
        <f t="shared" si="20"/>
        <v>10.881197287954029</v>
      </c>
      <c r="V108" s="73">
        <f t="shared" si="20"/>
        <v>10.34904342728961</v>
      </c>
      <c r="W108" s="73">
        <f t="shared" si="20"/>
        <v>9.862807879788514</v>
      </c>
      <c r="X108" s="73">
        <f t="shared" si="20"/>
        <v>9.417270628338</v>
      </c>
      <c r="Y108" s="73">
        <f t="shared" si="20"/>
        <v>9.007910012636874</v>
      </c>
      <c r="Z108" s="73">
        <f t="shared" si="20"/>
        <v>8.630798717458935</v>
      </c>
      <c r="AA108" s="73">
        <f t="shared" si="20"/>
        <v>8.282516484153152</v>
      </c>
      <c r="AB108" s="74">
        <f t="shared" si="16"/>
        <v>45</v>
      </c>
    </row>
    <row r="109" spans="3:28" ht="13.5" thickTop="1">
      <c r="C109" s="59">
        <v>46</v>
      </c>
      <c r="D109" s="60">
        <f t="shared" si="22"/>
        <v>41.002185468597794</v>
      </c>
      <c r="E109" s="60">
        <f t="shared" si="22"/>
        <v>36.72723607929924</v>
      </c>
      <c r="F109" s="60">
        <f t="shared" si="22"/>
        <v>33.056489829526086</v>
      </c>
      <c r="G109" s="60">
        <f t="shared" si="22"/>
        <v>29.89231360245436</v>
      </c>
      <c r="H109" s="60">
        <f t="shared" si="22"/>
        <v>27.15416961590664</v>
      </c>
      <c r="I109" s="60">
        <f t="shared" si="22"/>
        <v>24.77544906910863</v>
      </c>
      <c r="J109" s="60">
        <f t="shared" si="22"/>
        <v>22.700918125408677</v>
      </c>
      <c r="K109" s="60">
        <f t="shared" si="22"/>
        <v>20.884653561310564</v>
      </c>
      <c r="L109" s="60">
        <f t="shared" si="22"/>
        <v>19.288370736606154</v>
      </c>
      <c r="M109" s="60">
        <f t="shared" si="22"/>
        <v>17.880066496835557</v>
      </c>
      <c r="N109" s="60">
        <f t="shared" si="22"/>
        <v>16.632915372902957</v>
      </c>
      <c r="O109" s="60">
        <f t="shared" si="22"/>
        <v>15.524369900171406</v>
      </c>
      <c r="P109" s="60">
        <f t="shared" si="22"/>
        <v>14.535425747496285</v>
      </c>
      <c r="Q109" s="60">
        <f t="shared" si="22"/>
        <v>13.650020177242018</v>
      </c>
      <c r="R109" s="60">
        <f t="shared" si="22"/>
        <v>12.854538581871218</v>
      </c>
      <c r="S109" s="60">
        <f t="shared" si="21"/>
        <v>12.137408799213409</v>
      </c>
      <c r="T109" s="60">
        <f t="shared" si="20"/>
        <v>11.48876686220238</v>
      </c>
      <c r="U109" s="60">
        <f t="shared" si="20"/>
        <v>10.900180998122964</v>
      </c>
      <c r="V109" s="60">
        <f t="shared" si="20"/>
        <v>10.36442322126905</v>
      </c>
      <c r="W109" s="60">
        <f t="shared" si="20"/>
        <v>9.87527989071683</v>
      </c>
      <c r="X109" s="60">
        <f t="shared" si="20"/>
        <v>9.427394233790045</v>
      </c>
      <c r="Y109" s="60">
        <f t="shared" si="20"/>
        <v>9.016135146519707</v>
      </c>
      <c r="Z109" s="60">
        <f t="shared" si="20"/>
        <v>8.637487638976623</v>
      </c>
      <c r="AA109" s="60">
        <f t="shared" si="20"/>
        <v>8.287961146565314</v>
      </c>
      <c r="AB109" s="61">
        <f t="shared" si="16"/>
        <v>46</v>
      </c>
    </row>
    <row r="110" spans="3:28" ht="12.75">
      <c r="C110" s="59">
        <v>47</v>
      </c>
      <c r="D110" s="60">
        <f t="shared" si="22"/>
        <v>41.79321937173905</v>
      </c>
      <c r="E110" s="60">
        <f t="shared" si="22"/>
        <v>37.35369908841506</v>
      </c>
      <c r="F110" s="60">
        <f t="shared" si="22"/>
        <v>33.55319195027201</v>
      </c>
      <c r="G110" s="60">
        <f t="shared" si="22"/>
        <v>30.286581963190546</v>
      </c>
      <c r="H110" s="60">
        <f t="shared" si="22"/>
        <v>27.46748255210404</v>
      </c>
      <c r="I110" s="60">
        <f t="shared" si="22"/>
        <v>25.024707834086055</v>
      </c>
      <c r="J110" s="60">
        <f t="shared" si="22"/>
        <v>22.899437802327224</v>
      </c>
      <c r="K110" s="60">
        <f t="shared" si="22"/>
        <v>21.042936116644775</v>
      </c>
      <c r="L110" s="60">
        <f t="shared" si="22"/>
        <v>19.414708838857567</v>
      </c>
      <c r="M110" s="60">
        <f t="shared" si="22"/>
        <v>17.981015711271958</v>
      </c>
      <c r="N110" s="60">
        <f t="shared" si="22"/>
        <v>16.713663860571522</v>
      </c>
      <c r="O110" s="60">
        <f t="shared" si="22"/>
        <v>15.589028207708871</v>
      </c>
      <c r="P110" s="60">
        <f t="shared" si="22"/>
        <v>14.587254223001207</v>
      </c>
      <c r="Q110" s="60">
        <f t="shared" si="22"/>
        <v>13.69160764228226</v>
      </c>
      <c r="R110" s="60">
        <f t="shared" si="22"/>
        <v>12.887942866856948</v>
      </c>
      <c r="S110" s="60">
        <f t="shared" si="21"/>
        <v>12.16426740667908</v>
      </c>
      <c r="T110" s="60">
        <f t="shared" si="20"/>
        <v>11.510384204794821</v>
      </c>
      <c r="U110" s="60">
        <f t="shared" si="20"/>
        <v>10.917597245984371</v>
      </c>
      <c r="V110" s="60">
        <f t="shared" si="20"/>
        <v>10.378468695222876</v>
      </c>
      <c r="W110" s="60">
        <f t="shared" si="20"/>
        <v>9.886618082469846</v>
      </c>
      <c r="X110" s="60">
        <f t="shared" si="20"/>
        <v>9.436555867683298</v>
      </c>
      <c r="Y110" s="60">
        <f t="shared" si="20"/>
        <v>9.023545177044781</v>
      </c>
      <c r="Z110" s="60">
        <f t="shared" si="20"/>
        <v>8.643486671727914</v>
      </c>
      <c r="AA110" s="60">
        <f t="shared" si="20"/>
        <v>8.29282245229046</v>
      </c>
      <c r="AB110" s="61">
        <f t="shared" si="16"/>
        <v>47</v>
      </c>
    </row>
    <row r="111" spans="3:28" ht="12.75">
      <c r="C111" s="59">
        <v>48</v>
      </c>
      <c r="D111" s="60">
        <f t="shared" si="22"/>
        <v>42.58031778282491</v>
      </c>
      <c r="E111" s="60">
        <f t="shared" si="22"/>
        <v>37.97395949348028</v>
      </c>
      <c r="F111" s="60">
        <f t="shared" si="22"/>
        <v>34.04255364558818</v>
      </c>
      <c r="G111" s="60">
        <f t="shared" si="22"/>
        <v>30.673119571755443</v>
      </c>
      <c r="H111" s="60">
        <f t="shared" si="22"/>
        <v>27.773153709369794</v>
      </c>
      <c r="I111" s="60">
        <f t="shared" si="22"/>
        <v>25.266706635035003</v>
      </c>
      <c r="J111" s="60">
        <f t="shared" si="22"/>
        <v>23.091244253456257</v>
      </c>
      <c r="K111" s="60">
        <f t="shared" si="22"/>
        <v>21.195130881389208</v>
      </c>
      <c r="L111" s="60">
        <f t="shared" si="22"/>
        <v>19.535606544361308</v>
      </c>
      <c r="M111" s="60">
        <f t="shared" si="22"/>
        <v>18.077157820259007</v>
      </c>
      <c r="N111" s="60">
        <f t="shared" si="22"/>
        <v>16.790202711442202</v>
      </c>
      <c r="O111" s="60">
        <f t="shared" si="22"/>
        <v>15.650026611046107</v>
      </c>
      <c r="P111" s="60">
        <f t="shared" si="22"/>
        <v>14.635919458217096</v>
      </c>
      <c r="Q111" s="60">
        <f t="shared" si="22"/>
        <v>13.730474432039495</v>
      </c>
      <c r="R111" s="60">
        <f t="shared" si="22"/>
        <v>12.919016620332044</v>
      </c>
      <c r="S111" s="60">
        <f t="shared" si="21"/>
        <v>12.189136487665817</v>
      </c>
      <c r="T111" s="60">
        <f aca="true" t="shared" si="23" ref="T111:AA111">PV(T$63,$C111,-$B$64)</f>
        <v>11.530308022852369</v>
      </c>
      <c r="U111" s="60">
        <f t="shared" si="23"/>
        <v>10.933575455031532</v>
      </c>
      <c r="V111" s="60">
        <f t="shared" si="23"/>
        <v>10.391295612075687</v>
      </c>
      <c r="W111" s="60">
        <f t="shared" si="23"/>
        <v>9.896925529518043</v>
      </c>
      <c r="X111" s="60">
        <f t="shared" si="23"/>
        <v>9.444846939079909</v>
      </c>
      <c r="Y111" s="60">
        <f t="shared" si="23"/>
        <v>9.030220880220522</v>
      </c>
      <c r="Z111" s="60">
        <f t="shared" si="23"/>
        <v>8.648866970159563</v>
      </c>
      <c r="AA111" s="60">
        <f t="shared" si="23"/>
        <v>8.297162903830767</v>
      </c>
      <c r="AB111" s="61">
        <f t="shared" si="16"/>
        <v>48</v>
      </c>
    </row>
    <row r="112" spans="3:28" ht="12.75">
      <c r="C112" s="59">
        <v>49</v>
      </c>
      <c r="D112" s="60">
        <f t="shared" si="22"/>
        <v>43.36350028141782</v>
      </c>
      <c r="E112" s="60">
        <f t="shared" si="22"/>
        <v>38.58807870641612</v>
      </c>
      <c r="F112" s="60">
        <f t="shared" si="22"/>
        <v>34.524683394668145</v>
      </c>
      <c r="G112" s="60">
        <f t="shared" si="22"/>
        <v>31.05207801152494</v>
      </c>
      <c r="H112" s="60">
        <f t="shared" si="22"/>
        <v>28.071369472555897</v>
      </c>
      <c r="I112" s="60">
        <f t="shared" si="22"/>
        <v>25.50165692721845</v>
      </c>
      <c r="J112" s="60">
        <f t="shared" si="22"/>
        <v>23.276564496093</v>
      </c>
      <c r="K112" s="60">
        <f t="shared" si="22"/>
        <v>21.341472001335777</v>
      </c>
      <c r="L112" s="60">
        <f t="shared" si="22"/>
        <v>19.651298128575412</v>
      </c>
      <c r="M112" s="60">
        <f t="shared" si="22"/>
        <v>18.168721733580007</v>
      </c>
      <c r="N112" s="60">
        <f t="shared" si="22"/>
        <v>16.862751385253272</v>
      </c>
      <c r="O112" s="60">
        <f t="shared" si="22"/>
        <v>15.707572274571797</v>
      </c>
      <c r="P112" s="60">
        <f t="shared" si="22"/>
        <v>14.681614514757836</v>
      </c>
      <c r="Q112" s="60">
        <f t="shared" si="22"/>
        <v>13.76679853461635</v>
      </c>
      <c r="R112" s="60">
        <f t="shared" si="22"/>
        <v>12.94792243751818</v>
      </c>
      <c r="S112" s="60">
        <f t="shared" si="22"/>
        <v>12.212163414505383</v>
      </c>
      <c r="T112" s="60">
        <f aca="true" t="shared" si="24" ref="T112:AA113">PV(T$63,$C112,-$B$64)</f>
        <v>11.548670988804027</v>
      </c>
      <c r="U112" s="60">
        <f t="shared" si="24"/>
        <v>10.948234362414249</v>
      </c>
      <c r="V112" s="60">
        <f t="shared" si="24"/>
        <v>10.403009691393322</v>
      </c>
      <c r="W112" s="60">
        <f t="shared" si="24"/>
        <v>9.906295935925494</v>
      </c>
      <c r="X112" s="60">
        <f t="shared" si="24"/>
        <v>9.45235017111304</v>
      </c>
      <c r="Y112" s="60">
        <f t="shared" si="24"/>
        <v>9.036235027225695</v>
      </c>
      <c r="Z112" s="60">
        <f t="shared" si="24"/>
        <v>8.653692349918892</v>
      </c>
      <c r="AA112" s="60">
        <f t="shared" si="24"/>
        <v>8.301038306991757</v>
      </c>
      <c r="AB112" s="61">
        <f t="shared" si="16"/>
        <v>49</v>
      </c>
    </row>
    <row r="113" spans="3:28" ht="13.5" thickBot="1">
      <c r="C113" s="72">
        <v>50</v>
      </c>
      <c r="D113" s="73">
        <f aca="true" t="shared" si="25" ref="D113:S113">PV(D$63,$C113,-$B$64)</f>
        <v>44.142786349669414</v>
      </c>
      <c r="E113" s="73">
        <f t="shared" si="25"/>
        <v>39.19611753110508</v>
      </c>
      <c r="F113" s="73">
        <f t="shared" si="25"/>
        <v>34.99968807356468</v>
      </c>
      <c r="G113" s="73">
        <f t="shared" si="25"/>
        <v>31.423605893651903</v>
      </c>
      <c r="H113" s="73">
        <f t="shared" si="25"/>
        <v>28.362311680542334</v>
      </c>
      <c r="I113" s="73">
        <f t="shared" si="25"/>
        <v>25.7297640070082</v>
      </c>
      <c r="J113" s="73">
        <f t="shared" si="25"/>
        <v>23.455617870621257</v>
      </c>
      <c r="K113" s="73">
        <f t="shared" si="25"/>
        <v>21.482184616669016</v>
      </c>
      <c r="L113" s="73">
        <f t="shared" si="25"/>
        <v>19.762007778541065</v>
      </c>
      <c r="M113" s="73">
        <f t="shared" si="25"/>
        <v>18.255925460552387</v>
      </c>
      <c r="N113" s="73">
        <f t="shared" si="25"/>
        <v>16.931517900714002</v>
      </c>
      <c r="O113" s="73">
        <f t="shared" si="25"/>
        <v>15.761860636388489</v>
      </c>
      <c r="P113" s="73">
        <f t="shared" si="25"/>
        <v>14.724520671134119</v>
      </c>
      <c r="Q113" s="73">
        <f t="shared" si="25"/>
        <v>13.800746294033974</v>
      </c>
      <c r="R113" s="73">
        <f t="shared" si="25"/>
        <v>12.974811569784354</v>
      </c>
      <c r="S113" s="73">
        <f t="shared" si="25"/>
        <v>12.23348464306054</v>
      </c>
      <c r="T113" s="73">
        <f t="shared" si="24"/>
        <v>11.5655953813862</v>
      </c>
      <c r="U113" s="73">
        <f t="shared" si="24"/>
        <v>10.961682901297477</v>
      </c>
      <c r="V113" s="73">
        <f t="shared" si="24"/>
        <v>10.413707480724494</v>
      </c>
      <c r="W113" s="73">
        <f t="shared" si="24"/>
        <v>9.914814487204994</v>
      </c>
      <c r="X113" s="73">
        <f t="shared" si="24"/>
        <v>9.459140426346641</v>
      </c>
      <c r="Y113" s="73">
        <f t="shared" si="24"/>
        <v>9.041653177680807</v>
      </c>
      <c r="Z113" s="73">
        <f t="shared" si="24"/>
        <v>8.658020044770305</v>
      </c>
      <c r="AA113" s="73">
        <f t="shared" si="24"/>
        <v>8.304498488385498</v>
      </c>
      <c r="AB113" s="75">
        <f>$C113</f>
        <v>50</v>
      </c>
    </row>
    <row r="114" ht="13.5" thickTop="1"/>
    <row r="116" spans="1:28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</row>
    <row r="118" ht="13.5" thickBot="1">
      <c r="A118" t="s">
        <v>43</v>
      </c>
    </row>
    <row r="119" spans="3:28" ht="17.25" thickBot="1" thickTop="1">
      <c r="C119" s="69" t="s">
        <v>45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8"/>
    </row>
    <row r="120" spans="1:28" ht="14.25" thickBot="1" thickTop="1">
      <c r="A120" s="27"/>
      <c r="B120" s="27"/>
      <c r="C120" s="53" t="s">
        <v>40</v>
      </c>
      <c r="D120" s="54">
        <v>0.005</v>
      </c>
      <c r="E120" s="54">
        <v>0.01</v>
      </c>
      <c r="F120" s="54">
        <v>0.015</v>
      </c>
      <c r="G120" s="54">
        <v>0.02</v>
      </c>
      <c r="H120" s="54">
        <v>0.025</v>
      </c>
      <c r="I120" s="54">
        <v>0.03</v>
      </c>
      <c r="J120" s="54">
        <v>0.035</v>
      </c>
      <c r="K120" s="54">
        <v>0.04</v>
      </c>
      <c r="L120" s="54">
        <v>0.045</v>
      </c>
      <c r="M120" s="54">
        <v>0.05</v>
      </c>
      <c r="N120" s="54">
        <v>0.055</v>
      </c>
      <c r="O120" s="54">
        <v>0.06</v>
      </c>
      <c r="P120" s="54">
        <v>0.065</v>
      </c>
      <c r="Q120" s="54">
        <v>0.07</v>
      </c>
      <c r="R120" s="54">
        <v>0.075</v>
      </c>
      <c r="S120" s="54">
        <v>0.08</v>
      </c>
      <c r="T120" s="54">
        <v>0.085</v>
      </c>
      <c r="U120" s="54">
        <v>0.09</v>
      </c>
      <c r="V120" s="54">
        <v>0.095</v>
      </c>
      <c r="W120" s="54">
        <v>0.1</v>
      </c>
      <c r="X120" s="54">
        <v>0.105</v>
      </c>
      <c r="Y120" s="54">
        <v>0.11</v>
      </c>
      <c r="Z120" s="54">
        <v>0.115</v>
      </c>
      <c r="AA120" s="54">
        <v>0.12</v>
      </c>
      <c r="AB120" s="55" t="s">
        <v>39</v>
      </c>
    </row>
    <row r="121" spans="1:28" ht="13.5" thickTop="1">
      <c r="A121" s="51"/>
      <c r="B121" s="50">
        <v>1</v>
      </c>
      <c r="C121" s="56">
        <v>1</v>
      </c>
      <c r="D121" s="57">
        <f aca="true" t="shared" si="26" ref="D121:D137">FV(D$120,$C121,,-$B$121)</f>
        <v>1.005</v>
      </c>
      <c r="E121" s="57">
        <f aca="true" t="shared" si="27" ref="E121:T136">FV(E$120,$C121,,-$B$121)</f>
        <v>1.01</v>
      </c>
      <c r="F121" s="57">
        <f t="shared" si="27"/>
        <v>1.015</v>
      </c>
      <c r="G121" s="57">
        <f t="shared" si="27"/>
        <v>1.02</v>
      </c>
      <c r="H121" s="57">
        <f t="shared" si="27"/>
        <v>1.025</v>
      </c>
      <c r="I121" s="57">
        <f t="shared" si="27"/>
        <v>1.03</v>
      </c>
      <c r="J121" s="57">
        <f t="shared" si="27"/>
        <v>1.035</v>
      </c>
      <c r="K121" s="57">
        <f t="shared" si="27"/>
        <v>1.04</v>
      </c>
      <c r="L121" s="57">
        <f t="shared" si="27"/>
        <v>1.045</v>
      </c>
      <c r="M121" s="57">
        <f t="shared" si="27"/>
        <v>1.05</v>
      </c>
      <c r="N121" s="57">
        <f t="shared" si="27"/>
        <v>1.055</v>
      </c>
      <c r="O121" s="57">
        <f t="shared" si="27"/>
        <v>1.06</v>
      </c>
      <c r="P121" s="57">
        <f t="shared" si="27"/>
        <v>1.065</v>
      </c>
      <c r="Q121" s="57">
        <f t="shared" si="27"/>
        <v>1.07</v>
      </c>
      <c r="R121" s="57">
        <f t="shared" si="27"/>
        <v>1.075</v>
      </c>
      <c r="S121" s="57">
        <f t="shared" si="27"/>
        <v>1.08</v>
      </c>
      <c r="T121" s="57">
        <f t="shared" si="27"/>
        <v>1.085</v>
      </c>
      <c r="U121" s="57">
        <f aca="true" t="shared" si="28" ref="U121:AA136">FV(U$120,$C121,,-$B$121)</f>
        <v>1.09</v>
      </c>
      <c r="V121" s="57">
        <f t="shared" si="28"/>
        <v>1.095</v>
      </c>
      <c r="W121" s="57">
        <f t="shared" si="28"/>
        <v>1.1</v>
      </c>
      <c r="X121" s="57">
        <f t="shared" si="28"/>
        <v>1.105</v>
      </c>
      <c r="Y121" s="57">
        <f t="shared" si="28"/>
        <v>1.11</v>
      </c>
      <c r="Z121" s="57">
        <f t="shared" si="28"/>
        <v>1.115</v>
      </c>
      <c r="AA121" s="57">
        <f t="shared" si="28"/>
        <v>1.12</v>
      </c>
      <c r="AB121" s="58">
        <f>$C121</f>
        <v>1</v>
      </c>
    </row>
    <row r="122" spans="3:28" ht="12.75">
      <c r="C122" s="59">
        <v>2</v>
      </c>
      <c r="D122" s="60">
        <f t="shared" si="26"/>
        <v>1.0100249999999997</v>
      </c>
      <c r="E122" s="60">
        <f t="shared" si="27"/>
        <v>1.0201</v>
      </c>
      <c r="F122" s="60">
        <f t="shared" si="27"/>
        <v>1.0302249999999997</v>
      </c>
      <c r="G122" s="60">
        <f t="shared" si="27"/>
        <v>1.0404</v>
      </c>
      <c r="H122" s="60">
        <f t="shared" si="27"/>
        <v>1.050625</v>
      </c>
      <c r="I122" s="60">
        <f t="shared" si="27"/>
        <v>1.0609</v>
      </c>
      <c r="J122" s="60">
        <f t="shared" si="27"/>
        <v>1.0712249999999999</v>
      </c>
      <c r="K122" s="60">
        <f t="shared" si="27"/>
        <v>1.0816000000000001</v>
      </c>
      <c r="L122" s="60">
        <f t="shared" si="27"/>
        <v>1.0920249999999998</v>
      </c>
      <c r="M122" s="60">
        <f t="shared" si="27"/>
        <v>1.1025</v>
      </c>
      <c r="N122" s="60">
        <f t="shared" si="27"/>
        <v>1.113025</v>
      </c>
      <c r="O122" s="60">
        <f t="shared" si="27"/>
        <v>1.1236000000000002</v>
      </c>
      <c r="P122" s="60">
        <f t="shared" si="27"/>
        <v>1.1342249999999998</v>
      </c>
      <c r="Q122" s="60">
        <f t="shared" si="27"/>
        <v>1.1449</v>
      </c>
      <c r="R122" s="60">
        <f t="shared" si="27"/>
        <v>1.155625</v>
      </c>
      <c r="S122" s="60">
        <f t="shared" si="27"/>
        <v>1.1664</v>
      </c>
      <c r="T122" s="60">
        <f t="shared" si="27"/>
        <v>1.177225</v>
      </c>
      <c r="U122" s="60">
        <f t="shared" si="28"/>
        <v>1.1881000000000002</v>
      </c>
      <c r="V122" s="60">
        <f t="shared" si="28"/>
        <v>1.199025</v>
      </c>
      <c r="W122" s="60">
        <f t="shared" si="28"/>
        <v>1.2100000000000002</v>
      </c>
      <c r="X122" s="60">
        <f t="shared" si="28"/>
        <v>1.221025</v>
      </c>
      <c r="Y122" s="60">
        <f t="shared" si="28"/>
        <v>1.2321000000000002</v>
      </c>
      <c r="Z122" s="60">
        <f t="shared" si="28"/>
        <v>1.243225</v>
      </c>
      <c r="AA122" s="60">
        <f t="shared" si="28"/>
        <v>1.2544000000000002</v>
      </c>
      <c r="AB122" s="61">
        <f aca="true" t="shared" si="29" ref="AB122:AB170">$C122</f>
        <v>2</v>
      </c>
    </row>
    <row r="123" spans="3:28" ht="12.75">
      <c r="C123" s="59">
        <v>3</v>
      </c>
      <c r="D123" s="60">
        <f t="shared" si="26"/>
        <v>1.0150751249999996</v>
      </c>
      <c r="E123" s="60">
        <f t="shared" si="27"/>
        <v>1.030301</v>
      </c>
      <c r="F123" s="60">
        <f t="shared" si="27"/>
        <v>1.0456783749999996</v>
      </c>
      <c r="G123" s="60">
        <f t="shared" si="27"/>
        <v>1.061208</v>
      </c>
      <c r="H123" s="60">
        <f t="shared" si="27"/>
        <v>1.0768906249999999</v>
      </c>
      <c r="I123" s="60">
        <f t="shared" si="27"/>
        <v>1.092727</v>
      </c>
      <c r="J123" s="60">
        <f t="shared" si="27"/>
        <v>1.1087178749999997</v>
      </c>
      <c r="K123" s="60">
        <f t="shared" si="27"/>
        <v>1.124864</v>
      </c>
      <c r="L123" s="60">
        <f t="shared" si="27"/>
        <v>1.1411661249999998</v>
      </c>
      <c r="M123" s="60">
        <f t="shared" si="27"/>
        <v>1.1576250000000001</v>
      </c>
      <c r="N123" s="60">
        <f t="shared" si="27"/>
        <v>1.1742413749999998</v>
      </c>
      <c r="O123" s="60">
        <f t="shared" si="27"/>
        <v>1.1910160000000003</v>
      </c>
      <c r="P123" s="60">
        <f t="shared" si="27"/>
        <v>1.2079496249999997</v>
      </c>
      <c r="Q123" s="60">
        <f t="shared" si="27"/>
        <v>1.225043</v>
      </c>
      <c r="R123" s="60">
        <f t="shared" si="27"/>
        <v>1.2422968749999999</v>
      </c>
      <c r="S123" s="60">
        <f t="shared" si="27"/>
        <v>1.2597120000000002</v>
      </c>
      <c r="T123" s="60">
        <f t="shared" si="27"/>
        <v>1.277289125</v>
      </c>
      <c r="U123" s="60">
        <f t="shared" si="28"/>
        <v>1.2950290000000002</v>
      </c>
      <c r="V123" s="60">
        <f t="shared" si="28"/>
        <v>1.312932375</v>
      </c>
      <c r="W123" s="60">
        <f t="shared" si="28"/>
        <v>1.3310000000000004</v>
      </c>
      <c r="X123" s="60">
        <f t="shared" si="28"/>
        <v>1.349232625</v>
      </c>
      <c r="Y123" s="60">
        <f t="shared" si="28"/>
        <v>1.3676310000000003</v>
      </c>
      <c r="Z123" s="60">
        <f t="shared" si="28"/>
        <v>1.386195875</v>
      </c>
      <c r="AA123" s="60">
        <f t="shared" si="28"/>
        <v>1.4049280000000004</v>
      </c>
      <c r="AB123" s="61">
        <f t="shared" si="29"/>
        <v>3</v>
      </c>
    </row>
    <row r="124" spans="3:28" ht="12.75">
      <c r="C124" s="59">
        <v>4</v>
      </c>
      <c r="D124" s="60">
        <f t="shared" si="26"/>
        <v>1.0201505006249993</v>
      </c>
      <c r="E124" s="60">
        <f t="shared" si="27"/>
        <v>1.04060401</v>
      </c>
      <c r="F124" s="60">
        <f t="shared" si="27"/>
        <v>1.0613635506249994</v>
      </c>
      <c r="G124" s="60">
        <f t="shared" si="27"/>
        <v>1.08243216</v>
      </c>
      <c r="H124" s="60">
        <f t="shared" si="27"/>
        <v>1.1038128906249998</v>
      </c>
      <c r="I124" s="60">
        <f t="shared" si="27"/>
        <v>1.12550881</v>
      </c>
      <c r="J124" s="60">
        <f t="shared" si="27"/>
        <v>1.1475230006249997</v>
      </c>
      <c r="K124" s="60">
        <f t="shared" si="27"/>
        <v>1.1698585600000002</v>
      </c>
      <c r="L124" s="60">
        <f t="shared" si="27"/>
        <v>1.1925186006249995</v>
      </c>
      <c r="M124" s="60">
        <f t="shared" si="27"/>
        <v>1.21550625</v>
      </c>
      <c r="N124" s="60">
        <f t="shared" si="27"/>
        <v>1.2388246506249998</v>
      </c>
      <c r="O124" s="60">
        <f t="shared" si="27"/>
        <v>1.2624769600000003</v>
      </c>
      <c r="P124" s="60">
        <f t="shared" si="27"/>
        <v>1.2864663506249996</v>
      </c>
      <c r="Q124" s="60">
        <f t="shared" si="27"/>
        <v>1.31079601</v>
      </c>
      <c r="R124" s="60">
        <f t="shared" si="27"/>
        <v>1.3354691406249999</v>
      </c>
      <c r="S124" s="60">
        <f t="shared" si="27"/>
        <v>1.3604889600000003</v>
      </c>
      <c r="T124" s="60">
        <f t="shared" si="27"/>
        <v>1.3858587006249998</v>
      </c>
      <c r="U124" s="60">
        <f t="shared" si="28"/>
        <v>1.4115816100000003</v>
      </c>
      <c r="V124" s="60">
        <f t="shared" si="28"/>
        <v>1.437660950625</v>
      </c>
      <c r="W124" s="60">
        <f t="shared" si="28"/>
        <v>1.4641000000000004</v>
      </c>
      <c r="X124" s="60">
        <f t="shared" si="28"/>
        <v>1.4909020506250001</v>
      </c>
      <c r="Y124" s="60">
        <f t="shared" si="28"/>
        <v>1.5180704100000004</v>
      </c>
      <c r="Z124" s="60">
        <f t="shared" si="28"/>
        <v>1.5456084006250002</v>
      </c>
      <c r="AA124" s="60">
        <f t="shared" si="28"/>
        <v>1.5735193600000004</v>
      </c>
      <c r="AB124" s="61">
        <f t="shared" si="29"/>
        <v>4</v>
      </c>
    </row>
    <row r="125" spans="3:28" ht="13.5" thickBot="1">
      <c r="C125" s="62">
        <v>5</v>
      </c>
      <c r="D125" s="63">
        <f t="shared" si="26"/>
        <v>1.0252512531281242</v>
      </c>
      <c r="E125" s="63">
        <f t="shared" si="27"/>
        <v>1.0510100501</v>
      </c>
      <c r="F125" s="63">
        <f t="shared" si="27"/>
        <v>1.0772840038843743</v>
      </c>
      <c r="G125" s="63">
        <f t="shared" si="27"/>
        <v>1.1040808032</v>
      </c>
      <c r="H125" s="63">
        <f t="shared" si="27"/>
        <v>1.1314082128906247</v>
      </c>
      <c r="I125" s="63">
        <f t="shared" si="27"/>
        <v>1.1592740742999998</v>
      </c>
      <c r="J125" s="63">
        <f t="shared" si="27"/>
        <v>1.1876863056468745</v>
      </c>
      <c r="K125" s="63">
        <f t="shared" si="27"/>
        <v>1.2166529024000003</v>
      </c>
      <c r="L125" s="63">
        <f t="shared" si="27"/>
        <v>1.2461819376531245</v>
      </c>
      <c r="M125" s="63">
        <f t="shared" si="27"/>
        <v>1.2762815625000001</v>
      </c>
      <c r="N125" s="63">
        <f t="shared" si="27"/>
        <v>1.3069600064093747</v>
      </c>
      <c r="O125" s="63">
        <f t="shared" si="27"/>
        <v>1.3382255776000005</v>
      </c>
      <c r="P125" s="63">
        <f t="shared" si="27"/>
        <v>1.3700866634156246</v>
      </c>
      <c r="Q125" s="63">
        <f t="shared" si="27"/>
        <v>1.4025517307000002</v>
      </c>
      <c r="R125" s="63">
        <f t="shared" si="27"/>
        <v>1.4356293261718749</v>
      </c>
      <c r="S125" s="63">
        <f t="shared" si="27"/>
        <v>1.4693280768000003</v>
      </c>
      <c r="T125" s="63">
        <f t="shared" si="27"/>
        <v>1.5036566901781248</v>
      </c>
      <c r="U125" s="63">
        <f t="shared" si="28"/>
        <v>1.5386239549000005</v>
      </c>
      <c r="V125" s="63">
        <f t="shared" si="28"/>
        <v>1.574238740934375</v>
      </c>
      <c r="W125" s="63">
        <f t="shared" si="28"/>
        <v>1.6105100000000006</v>
      </c>
      <c r="X125" s="63">
        <f t="shared" si="28"/>
        <v>1.6474467659406251</v>
      </c>
      <c r="Y125" s="63">
        <f t="shared" si="28"/>
        <v>1.6850581551000006</v>
      </c>
      <c r="Z125" s="63">
        <f t="shared" si="28"/>
        <v>1.7233533666968752</v>
      </c>
      <c r="AA125" s="63">
        <f t="shared" si="28"/>
        <v>1.7623416832000005</v>
      </c>
      <c r="AB125" s="64">
        <f t="shared" si="29"/>
        <v>5</v>
      </c>
    </row>
    <row r="126" spans="3:28" ht="13.5" thickTop="1">
      <c r="C126" s="59">
        <v>6</v>
      </c>
      <c r="D126" s="60">
        <f t="shared" si="26"/>
        <v>1.0303775093937646</v>
      </c>
      <c r="E126" s="60">
        <f t="shared" si="27"/>
        <v>1.0615201506010001</v>
      </c>
      <c r="F126" s="60">
        <f t="shared" si="27"/>
        <v>1.0934432639426397</v>
      </c>
      <c r="G126" s="60">
        <f t="shared" si="27"/>
        <v>1.126162419264</v>
      </c>
      <c r="H126" s="60">
        <f t="shared" si="27"/>
        <v>1.1596934182128902</v>
      </c>
      <c r="I126" s="60">
        <f t="shared" si="27"/>
        <v>1.194052296529</v>
      </c>
      <c r="J126" s="60">
        <f t="shared" si="27"/>
        <v>1.2292553263445152</v>
      </c>
      <c r="K126" s="60">
        <f t="shared" si="27"/>
        <v>1.2653190184960004</v>
      </c>
      <c r="L126" s="60">
        <f t="shared" si="27"/>
        <v>1.3022601248475147</v>
      </c>
      <c r="M126" s="60">
        <f t="shared" si="27"/>
        <v>1.340095640625</v>
      </c>
      <c r="N126" s="60">
        <f t="shared" si="27"/>
        <v>1.3788428067618903</v>
      </c>
      <c r="O126" s="60">
        <f t="shared" si="27"/>
        <v>1.4185191122560006</v>
      </c>
      <c r="P126" s="60">
        <f t="shared" si="27"/>
        <v>1.45914229653764</v>
      </c>
      <c r="Q126" s="60">
        <f t="shared" si="27"/>
        <v>1.500730351849</v>
      </c>
      <c r="R126" s="60">
        <f t="shared" si="27"/>
        <v>1.5433015256347653</v>
      </c>
      <c r="S126" s="60">
        <f t="shared" si="27"/>
        <v>1.5868743229440005</v>
      </c>
      <c r="T126" s="60">
        <f t="shared" si="27"/>
        <v>1.6314675088432653</v>
      </c>
      <c r="U126" s="60">
        <f t="shared" si="28"/>
        <v>1.6771001108410006</v>
      </c>
      <c r="V126" s="60">
        <f t="shared" si="28"/>
        <v>1.7237914213231407</v>
      </c>
      <c r="W126" s="60">
        <f t="shared" si="28"/>
        <v>1.7715610000000008</v>
      </c>
      <c r="X126" s="60">
        <f t="shared" si="28"/>
        <v>1.8204286763643909</v>
      </c>
      <c r="Y126" s="60">
        <f t="shared" si="28"/>
        <v>1.8704145521610007</v>
      </c>
      <c r="Z126" s="60">
        <f t="shared" si="28"/>
        <v>1.921539003867016</v>
      </c>
      <c r="AA126" s="60">
        <f t="shared" si="28"/>
        <v>1.9738226851840008</v>
      </c>
      <c r="AB126" s="61">
        <f t="shared" si="29"/>
        <v>6</v>
      </c>
    </row>
    <row r="127" spans="3:28" ht="12.75">
      <c r="C127" s="59">
        <v>7</v>
      </c>
      <c r="D127" s="60">
        <f t="shared" si="26"/>
        <v>1.0355293969407333</v>
      </c>
      <c r="E127" s="60">
        <f t="shared" si="27"/>
        <v>1.0721353521070098</v>
      </c>
      <c r="F127" s="60">
        <f t="shared" si="27"/>
        <v>1.1098449129017791</v>
      </c>
      <c r="G127" s="60">
        <f t="shared" si="27"/>
        <v>1.1486856676492798</v>
      </c>
      <c r="H127" s="60">
        <f t="shared" si="27"/>
        <v>1.1886857536682125</v>
      </c>
      <c r="I127" s="60">
        <f t="shared" si="27"/>
        <v>1.22987386542487</v>
      </c>
      <c r="J127" s="60">
        <f t="shared" si="27"/>
        <v>1.272279262766573</v>
      </c>
      <c r="K127" s="60">
        <f t="shared" si="27"/>
        <v>1.3159317792358403</v>
      </c>
      <c r="L127" s="60">
        <f t="shared" si="27"/>
        <v>1.360861830465653</v>
      </c>
      <c r="M127" s="60">
        <f t="shared" si="27"/>
        <v>1.4071004226562502</v>
      </c>
      <c r="N127" s="60">
        <f t="shared" si="27"/>
        <v>1.4546791611337941</v>
      </c>
      <c r="O127" s="60">
        <f t="shared" si="27"/>
        <v>1.5036302589913608</v>
      </c>
      <c r="P127" s="60">
        <f t="shared" si="27"/>
        <v>1.5539865458125863</v>
      </c>
      <c r="Q127" s="60">
        <f t="shared" si="27"/>
        <v>1.6057814764784302</v>
      </c>
      <c r="R127" s="60">
        <f t="shared" si="27"/>
        <v>1.6590491400573728</v>
      </c>
      <c r="S127" s="60">
        <f t="shared" si="27"/>
        <v>1.7138242687795207</v>
      </c>
      <c r="T127" s="60">
        <f t="shared" si="27"/>
        <v>1.770142247094943</v>
      </c>
      <c r="U127" s="60">
        <f t="shared" si="28"/>
        <v>1.8280391208166906</v>
      </c>
      <c r="V127" s="60">
        <f t="shared" si="28"/>
        <v>1.887551606348839</v>
      </c>
      <c r="W127" s="60">
        <f t="shared" si="28"/>
        <v>1.9487171000000012</v>
      </c>
      <c r="X127" s="60">
        <f t="shared" si="28"/>
        <v>2.011573687382652</v>
      </c>
      <c r="Y127" s="60">
        <f t="shared" si="28"/>
        <v>2.076160152898711</v>
      </c>
      <c r="Z127" s="60">
        <f t="shared" si="28"/>
        <v>2.1425159893117227</v>
      </c>
      <c r="AA127" s="60">
        <f t="shared" si="28"/>
        <v>2.210681407406081</v>
      </c>
      <c r="AB127" s="61">
        <f t="shared" si="29"/>
        <v>7</v>
      </c>
    </row>
    <row r="128" spans="3:28" ht="12.75">
      <c r="C128" s="59">
        <v>8</v>
      </c>
      <c r="D128" s="60">
        <f t="shared" si="26"/>
        <v>1.040707043925437</v>
      </c>
      <c r="E128" s="60">
        <f t="shared" si="27"/>
        <v>1.0828567056280802</v>
      </c>
      <c r="F128" s="60">
        <f t="shared" si="27"/>
        <v>1.1264925865953057</v>
      </c>
      <c r="G128" s="60">
        <f t="shared" si="27"/>
        <v>1.1716593810022655</v>
      </c>
      <c r="H128" s="60">
        <f t="shared" si="27"/>
        <v>1.2184028975099177</v>
      </c>
      <c r="I128" s="60">
        <f t="shared" si="27"/>
        <v>1.266770081387616</v>
      </c>
      <c r="J128" s="60">
        <f t="shared" si="27"/>
        <v>1.316809036963403</v>
      </c>
      <c r="K128" s="60">
        <f t="shared" si="27"/>
        <v>1.368569050405274</v>
      </c>
      <c r="L128" s="60">
        <f t="shared" si="27"/>
        <v>1.422100612836607</v>
      </c>
      <c r="M128" s="60">
        <f t="shared" si="27"/>
        <v>1.4774554437890626</v>
      </c>
      <c r="N128" s="60">
        <f t="shared" si="27"/>
        <v>1.5346865149961528</v>
      </c>
      <c r="O128" s="60">
        <f t="shared" si="27"/>
        <v>1.5938480745308423</v>
      </c>
      <c r="P128" s="60">
        <f t="shared" si="27"/>
        <v>1.6549956712904044</v>
      </c>
      <c r="Q128" s="60">
        <f t="shared" si="27"/>
        <v>1.7181861798319202</v>
      </c>
      <c r="R128" s="60">
        <f t="shared" si="27"/>
        <v>1.7834778255616757</v>
      </c>
      <c r="S128" s="60">
        <f t="shared" si="27"/>
        <v>1.8509302102818823</v>
      </c>
      <c r="T128" s="60">
        <f t="shared" si="27"/>
        <v>1.920604338098013</v>
      </c>
      <c r="U128" s="60">
        <f t="shared" si="28"/>
        <v>1.992562641690193</v>
      </c>
      <c r="V128" s="60">
        <f t="shared" si="28"/>
        <v>2.066869008951979</v>
      </c>
      <c r="W128" s="60">
        <f t="shared" si="28"/>
        <v>2.143588810000001</v>
      </c>
      <c r="X128" s="60">
        <f t="shared" si="28"/>
        <v>2.2227889245578303</v>
      </c>
      <c r="Y128" s="60">
        <f t="shared" si="28"/>
        <v>2.3045377697175695</v>
      </c>
      <c r="Z128" s="60">
        <f t="shared" si="28"/>
        <v>2.388905328082571</v>
      </c>
      <c r="AA128" s="60">
        <f t="shared" si="28"/>
        <v>2.475963176294811</v>
      </c>
      <c r="AB128" s="61">
        <f t="shared" si="29"/>
        <v>8</v>
      </c>
    </row>
    <row r="129" spans="3:28" ht="12.75">
      <c r="C129" s="59">
        <v>9</v>
      </c>
      <c r="D129" s="60">
        <f t="shared" si="26"/>
        <v>1.045910579145064</v>
      </c>
      <c r="E129" s="60">
        <f t="shared" si="27"/>
        <v>1.093685272684361</v>
      </c>
      <c r="F129" s="60">
        <f t="shared" si="27"/>
        <v>1.1433899753942351</v>
      </c>
      <c r="G129" s="60">
        <f t="shared" si="27"/>
        <v>1.1950925686223108</v>
      </c>
      <c r="H129" s="60">
        <f t="shared" si="27"/>
        <v>1.2488629699476654</v>
      </c>
      <c r="I129" s="60">
        <f t="shared" si="27"/>
        <v>1.3047731838292445</v>
      </c>
      <c r="J129" s="60">
        <f t="shared" si="27"/>
        <v>1.3628973532571218</v>
      </c>
      <c r="K129" s="60">
        <f t="shared" si="27"/>
        <v>1.4233118124214852</v>
      </c>
      <c r="L129" s="60">
        <f t="shared" si="27"/>
        <v>1.4860951404142542</v>
      </c>
      <c r="M129" s="60">
        <f t="shared" si="27"/>
        <v>1.5513282159785158</v>
      </c>
      <c r="N129" s="60">
        <f t="shared" si="27"/>
        <v>1.6190942733209412</v>
      </c>
      <c r="O129" s="60">
        <f t="shared" si="27"/>
        <v>1.6894789590026928</v>
      </c>
      <c r="P129" s="60">
        <f t="shared" si="27"/>
        <v>1.7625703899242806</v>
      </c>
      <c r="Q129" s="60">
        <f t="shared" si="27"/>
        <v>1.8384592124201549</v>
      </c>
      <c r="R129" s="60">
        <f t="shared" si="27"/>
        <v>1.9172386624788014</v>
      </c>
      <c r="S129" s="60">
        <f t="shared" si="27"/>
        <v>1.999004627104433</v>
      </c>
      <c r="T129" s="60">
        <f t="shared" si="27"/>
        <v>2.083855706836344</v>
      </c>
      <c r="U129" s="60">
        <f t="shared" si="28"/>
        <v>2.1718932794423105</v>
      </c>
      <c r="V129" s="60">
        <f t="shared" si="28"/>
        <v>2.2632215648024165</v>
      </c>
      <c r="W129" s="60">
        <f t="shared" si="28"/>
        <v>2.3579476910000015</v>
      </c>
      <c r="X129" s="60">
        <f t="shared" si="28"/>
        <v>2.4561817616364023</v>
      </c>
      <c r="Y129" s="60">
        <f t="shared" si="28"/>
        <v>2.5580369243865024</v>
      </c>
      <c r="Z129" s="60">
        <f t="shared" si="28"/>
        <v>2.6636294408120667</v>
      </c>
      <c r="AA129" s="60">
        <f t="shared" si="28"/>
        <v>2.7730787574501883</v>
      </c>
      <c r="AB129" s="61">
        <f t="shared" si="29"/>
        <v>9</v>
      </c>
    </row>
    <row r="130" spans="3:28" ht="13.5" thickBot="1">
      <c r="C130" s="62">
        <v>10</v>
      </c>
      <c r="D130" s="63">
        <f t="shared" si="26"/>
        <v>1.0511401320407892</v>
      </c>
      <c r="E130" s="63">
        <f t="shared" si="27"/>
        <v>1.1046221254112047</v>
      </c>
      <c r="F130" s="63">
        <f t="shared" si="27"/>
        <v>1.1605408250251485</v>
      </c>
      <c r="G130" s="63">
        <f t="shared" si="27"/>
        <v>1.218994419994757</v>
      </c>
      <c r="H130" s="63">
        <f t="shared" si="27"/>
        <v>1.280084544196357</v>
      </c>
      <c r="I130" s="63">
        <f t="shared" si="27"/>
        <v>1.3439163793441218</v>
      </c>
      <c r="J130" s="63">
        <f t="shared" si="27"/>
        <v>1.410598760621121</v>
      </c>
      <c r="K130" s="63">
        <f t="shared" si="27"/>
        <v>1.4802442849183446</v>
      </c>
      <c r="L130" s="63">
        <f t="shared" si="27"/>
        <v>1.5529694217328953</v>
      </c>
      <c r="M130" s="63">
        <f t="shared" si="27"/>
        <v>1.6288946267774416</v>
      </c>
      <c r="N130" s="63">
        <f t="shared" si="27"/>
        <v>1.708144458353593</v>
      </c>
      <c r="O130" s="63">
        <f t="shared" si="27"/>
        <v>1.7908476965428546</v>
      </c>
      <c r="P130" s="63">
        <f t="shared" si="27"/>
        <v>1.8771374652693587</v>
      </c>
      <c r="Q130" s="63">
        <f t="shared" si="27"/>
        <v>1.9671513572895656</v>
      </c>
      <c r="R130" s="63">
        <f t="shared" si="27"/>
        <v>2.061031562164711</v>
      </c>
      <c r="S130" s="63">
        <f t="shared" si="27"/>
        <v>2.1589249972727877</v>
      </c>
      <c r="T130" s="63">
        <f t="shared" si="27"/>
        <v>2.2609834419174333</v>
      </c>
      <c r="U130" s="63">
        <f t="shared" si="28"/>
        <v>2.3673636745921187</v>
      </c>
      <c r="V130" s="63">
        <f t="shared" si="28"/>
        <v>2.4782276134586465</v>
      </c>
      <c r="W130" s="63">
        <f t="shared" si="28"/>
        <v>2.593742460100002</v>
      </c>
      <c r="X130" s="63">
        <f t="shared" si="28"/>
        <v>2.714080846608225</v>
      </c>
      <c r="Y130" s="63">
        <f t="shared" si="28"/>
        <v>2.839420986069018</v>
      </c>
      <c r="Z130" s="63">
        <f t="shared" si="28"/>
        <v>2.9699468265054545</v>
      </c>
      <c r="AA130" s="63">
        <f t="shared" si="28"/>
        <v>3.105848208344211</v>
      </c>
      <c r="AB130" s="64">
        <f t="shared" si="29"/>
        <v>10</v>
      </c>
    </row>
    <row r="131" spans="3:28" ht="13.5" thickTop="1">
      <c r="C131" s="59">
        <v>11</v>
      </c>
      <c r="D131" s="60">
        <f t="shared" si="26"/>
        <v>1.056395832700993</v>
      </c>
      <c r="E131" s="60">
        <f t="shared" si="27"/>
        <v>1.1156683466653166</v>
      </c>
      <c r="F131" s="60">
        <f t="shared" si="27"/>
        <v>1.1779489374005256</v>
      </c>
      <c r="G131" s="60">
        <f t="shared" si="27"/>
        <v>1.243374308394652</v>
      </c>
      <c r="H131" s="60">
        <f t="shared" si="27"/>
        <v>1.312086657801266</v>
      </c>
      <c r="I131" s="60">
        <f t="shared" si="27"/>
        <v>1.3842338707244455</v>
      </c>
      <c r="J131" s="60">
        <f t="shared" si="27"/>
        <v>1.4599697172428603</v>
      </c>
      <c r="K131" s="60">
        <f t="shared" si="27"/>
        <v>1.5394540563150783</v>
      </c>
      <c r="L131" s="60">
        <f t="shared" si="27"/>
        <v>1.6228530457108756</v>
      </c>
      <c r="M131" s="60">
        <f t="shared" si="27"/>
        <v>1.7103393581163138</v>
      </c>
      <c r="N131" s="60">
        <f t="shared" si="27"/>
        <v>1.8020924035630403</v>
      </c>
      <c r="O131" s="60">
        <f t="shared" si="27"/>
        <v>1.8982985583354262</v>
      </c>
      <c r="P131" s="60">
        <f t="shared" si="27"/>
        <v>1.9991514005118667</v>
      </c>
      <c r="Q131" s="60">
        <f t="shared" si="27"/>
        <v>2.1048519522998355</v>
      </c>
      <c r="R131" s="60">
        <f t="shared" si="27"/>
        <v>2.2156089293270647</v>
      </c>
      <c r="S131" s="60">
        <f t="shared" si="27"/>
        <v>2.3316389970546108</v>
      </c>
      <c r="T131" s="60">
        <f t="shared" si="27"/>
        <v>2.453167034480415</v>
      </c>
      <c r="U131" s="60">
        <f t="shared" si="28"/>
        <v>2.5804264053054093</v>
      </c>
      <c r="V131" s="60">
        <f t="shared" si="28"/>
        <v>2.7136592367372177</v>
      </c>
      <c r="W131" s="60">
        <f t="shared" si="28"/>
        <v>2.8531167061100025</v>
      </c>
      <c r="X131" s="60">
        <f t="shared" si="28"/>
        <v>2.9990593355020883</v>
      </c>
      <c r="Y131" s="60">
        <f t="shared" si="28"/>
        <v>3.15175729453661</v>
      </c>
      <c r="Z131" s="60">
        <f t="shared" si="28"/>
        <v>3.311490711553582</v>
      </c>
      <c r="AA131" s="60">
        <f t="shared" si="28"/>
        <v>3.478549993345517</v>
      </c>
      <c r="AB131" s="61">
        <f t="shared" si="29"/>
        <v>11</v>
      </c>
    </row>
    <row r="132" spans="3:28" ht="12.75">
      <c r="C132" s="59">
        <v>12</v>
      </c>
      <c r="D132" s="60">
        <f t="shared" si="26"/>
        <v>1.0616778118644976</v>
      </c>
      <c r="E132" s="60">
        <f t="shared" si="27"/>
        <v>1.1268250301319698</v>
      </c>
      <c r="F132" s="60">
        <f t="shared" si="27"/>
        <v>1.1956181714615333</v>
      </c>
      <c r="G132" s="60">
        <f t="shared" si="27"/>
        <v>1.2682417945625453</v>
      </c>
      <c r="H132" s="60">
        <f t="shared" si="27"/>
        <v>1.3448888242462975</v>
      </c>
      <c r="I132" s="60">
        <f t="shared" si="27"/>
        <v>1.4257608868461786</v>
      </c>
      <c r="J132" s="60">
        <f t="shared" si="27"/>
        <v>1.5110686573463603</v>
      </c>
      <c r="K132" s="60">
        <f t="shared" si="27"/>
        <v>1.6010322185676817</v>
      </c>
      <c r="L132" s="60">
        <f t="shared" si="27"/>
        <v>1.6958814327678646</v>
      </c>
      <c r="M132" s="60">
        <f t="shared" si="27"/>
        <v>1.7958563260221292</v>
      </c>
      <c r="N132" s="60">
        <f t="shared" si="27"/>
        <v>1.9012074857590076</v>
      </c>
      <c r="O132" s="60">
        <f t="shared" si="27"/>
        <v>2.012196471835552</v>
      </c>
      <c r="P132" s="60">
        <f t="shared" si="27"/>
        <v>2.1290962415451378</v>
      </c>
      <c r="Q132" s="60">
        <f t="shared" si="27"/>
        <v>2.2521915889608235</v>
      </c>
      <c r="R132" s="60">
        <f t="shared" si="27"/>
        <v>2.3817795990265944</v>
      </c>
      <c r="S132" s="60">
        <f t="shared" si="27"/>
        <v>2.51817011681898</v>
      </c>
      <c r="T132" s="60">
        <f t="shared" si="27"/>
        <v>2.66168623241125</v>
      </c>
      <c r="U132" s="60">
        <f t="shared" si="28"/>
        <v>2.812664781782896</v>
      </c>
      <c r="V132" s="60">
        <f t="shared" si="28"/>
        <v>2.9714568642272536</v>
      </c>
      <c r="W132" s="60">
        <f t="shared" si="28"/>
        <v>3.1384283767210026</v>
      </c>
      <c r="X132" s="60">
        <f t="shared" si="28"/>
        <v>3.3139605657298077</v>
      </c>
      <c r="Y132" s="60">
        <f t="shared" si="28"/>
        <v>3.4984505969356374</v>
      </c>
      <c r="Z132" s="60">
        <f t="shared" si="28"/>
        <v>3.692312143382244</v>
      </c>
      <c r="AA132" s="60">
        <f t="shared" si="28"/>
        <v>3.895975992546979</v>
      </c>
      <c r="AB132" s="61">
        <f t="shared" si="29"/>
        <v>12</v>
      </c>
    </row>
    <row r="133" spans="3:28" ht="12.75">
      <c r="C133" s="59">
        <v>13</v>
      </c>
      <c r="D133" s="60">
        <f t="shared" si="26"/>
        <v>1.06698620092382</v>
      </c>
      <c r="E133" s="60">
        <f t="shared" si="27"/>
        <v>1.1380932804332895</v>
      </c>
      <c r="F133" s="60">
        <f t="shared" si="27"/>
        <v>1.2135524440334562</v>
      </c>
      <c r="G133" s="60">
        <f t="shared" si="27"/>
        <v>1.293606630453796</v>
      </c>
      <c r="H133" s="60">
        <f t="shared" si="27"/>
        <v>1.378511044852455</v>
      </c>
      <c r="I133" s="60">
        <f t="shared" si="27"/>
        <v>1.468533713451564</v>
      </c>
      <c r="J133" s="60">
        <f t="shared" si="27"/>
        <v>1.5639560603534826</v>
      </c>
      <c r="K133" s="60">
        <f t="shared" si="27"/>
        <v>1.665073507310389</v>
      </c>
      <c r="L133" s="60">
        <f t="shared" si="27"/>
        <v>1.7721960972424187</v>
      </c>
      <c r="M133" s="60">
        <f t="shared" si="27"/>
        <v>1.885649142323236</v>
      </c>
      <c r="N133" s="60">
        <f t="shared" si="27"/>
        <v>2.005773897475753</v>
      </c>
      <c r="O133" s="60">
        <f t="shared" si="27"/>
        <v>2.132928260145685</v>
      </c>
      <c r="P133" s="60">
        <f t="shared" si="27"/>
        <v>2.267487497245572</v>
      </c>
      <c r="Q133" s="60">
        <f t="shared" si="27"/>
        <v>2.4098450001880813</v>
      </c>
      <c r="R133" s="60">
        <f t="shared" si="27"/>
        <v>2.560413068953589</v>
      </c>
      <c r="S133" s="60">
        <f t="shared" si="27"/>
        <v>2.719623726164498</v>
      </c>
      <c r="T133" s="60">
        <f t="shared" si="27"/>
        <v>2.887929562166206</v>
      </c>
      <c r="U133" s="60">
        <f t="shared" si="28"/>
        <v>3.0658046121433573</v>
      </c>
      <c r="V133" s="60">
        <f t="shared" si="28"/>
        <v>3.2537452663288424</v>
      </c>
      <c r="W133" s="60">
        <f t="shared" si="28"/>
        <v>3.452271214393103</v>
      </c>
      <c r="X133" s="60">
        <f t="shared" si="28"/>
        <v>3.661926425131438</v>
      </c>
      <c r="Y133" s="60">
        <f t="shared" si="28"/>
        <v>3.883280162598558</v>
      </c>
      <c r="Z133" s="60">
        <f t="shared" si="28"/>
        <v>4.116928039871202</v>
      </c>
      <c r="AA133" s="60">
        <f t="shared" si="28"/>
        <v>4.363493111652617</v>
      </c>
      <c r="AB133" s="61">
        <f t="shared" si="29"/>
        <v>13</v>
      </c>
    </row>
    <row r="134" spans="3:28" ht="12.75">
      <c r="C134" s="59">
        <v>14</v>
      </c>
      <c r="D134" s="60">
        <f t="shared" si="26"/>
        <v>1.072321131928439</v>
      </c>
      <c r="E134" s="60">
        <f t="shared" si="27"/>
        <v>1.1494742132376226</v>
      </c>
      <c r="F134" s="60">
        <f t="shared" si="27"/>
        <v>1.2317557306939577</v>
      </c>
      <c r="G134" s="60">
        <f t="shared" si="27"/>
        <v>1.3194787630628722</v>
      </c>
      <c r="H134" s="60">
        <f t="shared" si="27"/>
        <v>1.4129738209737661</v>
      </c>
      <c r="I134" s="60">
        <f t="shared" si="27"/>
        <v>1.512589724855111</v>
      </c>
      <c r="J134" s="60">
        <f t="shared" si="27"/>
        <v>1.6186945224658547</v>
      </c>
      <c r="K134" s="60">
        <f t="shared" si="27"/>
        <v>1.7316764476028046</v>
      </c>
      <c r="L134" s="60">
        <f t="shared" si="27"/>
        <v>1.851944921618327</v>
      </c>
      <c r="M134" s="60">
        <f t="shared" si="27"/>
        <v>1.9799315994393973</v>
      </c>
      <c r="N134" s="60">
        <f t="shared" si="27"/>
        <v>2.1160914618369193</v>
      </c>
      <c r="O134" s="60">
        <f t="shared" si="27"/>
        <v>2.260903955754426</v>
      </c>
      <c r="P134" s="60">
        <f t="shared" si="27"/>
        <v>2.414874184566534</v>
      </c>
      <c r="Q134" s="60">
        <f t="shared" si="27"/>
        <v>2.578534150201247</v>
      </c>
      <c r="R134" s="60">
        <f t="shared" si="27"/>
        <v>2.752444049125108</v>
      </c>
      <c r="S134" s="60">
        <f t="shared" si="27"/>
        <v>2.9371936242576586</v>
      </c>
      <c r="T134" s="60">
        <f t="shared" si="27"/>
        <v>3.1334035749503335</v>
      </c>
      <c r="U134" s="60">
        <f t="shared" si="28"/>
        <v>3.3417270272362596</v>
      </c>
      <c r="V134" s="60">
        <f t="shared" si="28"/>
        <v>3.5628510666300826</v>
      </c>
      <c r="W134" s="60">
        <f t="shared" si="28"/>
        <v>3.797498335832414</v>
      </c>
      <c r="X134" s="60">
        <f t="shared" si="28"/>
        <v>4.046428699770239</v>
      </c>
      <c r="Y134" s="60">
        <f t="shared" si="28"/>
        <v>4.310440980484399</v>
      </c>
      <c r="Z134" s="60">
        <f t="shared" si="28"/>
        <v>4.59037476445639</v>
      </c>
      <c r="AA134" s="60">
        <f t="shared" si="28"/>
        <v>4.887112285050931</v>
      </c>
      <c r="AB134" s="61">
        <f t="shared" si="29"/>
        <v>14</v>
      </c>
    </row>
    <row r="135" spans="3:28" ht="13.5" thickBot="1">
      <c r="C135" s="62">
        <v>15</v>
      </c>
      <c r="D135" s="63">
        <f t="shared" si="26"/>
        <v>1.0776827375880809</v>
      </c>
      <c r="E135" s="63">
        <f t="shared" si="27"/>
        <v>1.1609689553699984</v>
      </c>
      <c r="F135" s="63">
        <f t="shared" si="27"/>
        <v>1.250232066654367</v>
      </c>
      <c r="G135" s="63">
        <f t="shared" si="27"/>
        <v>1.3458683383241292</v>
      </c>
      <c r="H135" s="63">
        <f t="shared" si="27"/>
        <v>1.4482981664981105</v>
      </c>
      <c r="I135" s="63">
        <f t="shared" si="27"/>
        <v>1.5579674166007644</v>
      </c>
      <c r="J135" s="63">
        <f t="shared" si="27"/>
        <v>1.6753488307521593</v>
      </c>
      <c r="K135" s="63">
        <f t="shared" si="27"/>
        <v>1.8009435055069167</v>
      </c>
      <c r="L135" s="63">
        <f t="shared" si="27"/>
        <v>1.935282443091152</v>
      </c>
      <c r="M135" s="63">
        <f t="shared" si="27"/>
        <v>2.078928179411368</v>
      </c>
      <c r="N135" s="63">
        <f t="shared" si="27"/>
        <v>2.2324764922379496</v>
      </c>
      <c r="O135" s="63">
        <f t="shared" si="27"/>
        <v>2.3965581930996924</v>
      </c>
      <c r="P135" s="63">
        <f t="shared" si="27"/>
        <v>2.571841006563358</v>
      </c>
      <c r="Q135" s="63">
        <f t="shared" si="27"/>
        <v>2.7590315407153345</v>
      </c>
      <c r="R135" s="63">
        <f t="shared" si="27"/>
        <v>2.958877352809491</v>
      </c>
      <c r="S135" s="63">
        <f t="shared" si="27"/>
        <v>3.1721691141982715</v>
      </c>
      <c r="T135" s="63">
        <f t="shared" si="27"/>
        <v>3.399742878821112</v>
      </c>
      <c r="U135" s="63">
        <f t="shared" si="28"/>
        <v>3.642482459687523</v>
      </c>
      <c r="V135" s="63">
        <f t="shared" si="28"/>
        <v>3.9013219179599403</v>
      </c>
      <c r="W135" s="63">
        <f t="shared" si="28"/>
        <v>4.177248169415655</v>
      </c>
      <c r="X135" s="63">
        <f t="shared" si="28"/>
        <v>4.471303713246114</v>
      </c>
      <c r="Y135" s="63">
        <f t="shared" si="28"/>
        <v>4.784589488337683</v>
      </c>
      <c r="Z135" s="63">
        <f t="shared" si="28"/>
        <v>5.118267862368875</v>
      </c>
      <c r="AA135" s="63">
        <f t="shared" si="28"/>
        <v>5.473565759257043</v>
      </c>
      <c r="AB135" s="64">
        <f t="shared" si="29"/>
        <v>15</v>
      </c>
    </row>
    <row r="136" spans="3:28" ht="13.5" thickTop="1">
      <c r="C136" s="59">
        <v>16</v>
      </c>
      <c r="D136" s="60">
        <f t="shared" si="26"/>
        <v>1.0830711512760212</v>
      </c>
      <c r="E136" s="60">
        <f t="shared" si="27"/>
        <v>1.1725786449236988</v>
      </c>
      <c r="F136" s="60">
        <f t="shared" si="27"/>
        <v>1.2689855476541823</v>
      </c>
      <c r="G136" s="60">
        <f t="shared" si="27"/>
        <v>1.372785705090612</v>
      </c>
      <c r="H136" s="60">
        <f t="shared" si="27"/>
        <v>1.4845056206605631</v>
      </c>
      <c r="I136" s="60">
        <f t="shared" si="27"/>
        <v>1.604706439098787</v>
      </c>
      <c r="J136" s="60">
        <f t="shared" si="27"/>
        <v>1.7339860398284845</v>
      </c>
      <c r="K136" s="60">
        <f t="shared" si="27"/>
        <v>1.8729812457271937</v>
      </c>
      <c r="L136" s="60">
        <f t="shared" si="27"/>
        <v>2.022370153030253</v>
      </c>
      <c r="M136" s="60">
        <f t="shared" si="27"/>
        <v>2.182874588381936</v>
      </c>
      <c r="N136" s="60">
        <f t="shared" si="27"/>
        <v>2.355262699311037</v>
      </c>
      <c r="O136" s="60">
        <f t="shared" si="27"/>
        <v>2.5403516846856733</v>
      </c>
      <c r="P136" s="60">
        <f t="shared" si="27"/>
        <v>2.739010671989976</v>
      </c>
      <c r="Q136" s="60">
        <f t="shared" si="27"/>
        <v>2.9521637485654075</v>
      </c>
      <c r="R136" s="60">
        <f t="shared" si="27"/>
        <v>3.180793154270203</v>
      </c>
      <c r="S136" s="60">
        <f t="shared" si="27"/>
        <v>3.425942643334133</v>
      </c>
      <c r="T136" s="60">
        <f aca="true" t="shared" si="30" ref="T136:AA151">FV(T$120,$C136,,-$B$121)</f>
        <v>3.6887210235209063</v>
      </c>
      <c r="U136" s="60">
        <f t="shared" si="28"/>
        <v>3.9703058810594003</v>
      </c>
      <c r="V136" s="60">
        <f t="shared" si="28"/>
        <v>4.271947500166135</v>
      </c>
      <c r="W136" s="60">
        <f t="shared" si="28"/>
        <v>4.594972986357221</v>
      </c>
      <c r="X136" s="60">
        <f t="shared" si="28"/>
        <v>4.940790603136955</v>
      </c>
      <c r="Y136" s="60">
        <f t="shared" si="28"/>
        <v>5.310894332054829</v>
      </c>
      <c r="Z136" s="60">
        <f t="shared" si="28"/>
        <v>5.706868666541297</v>
      </c>
      <c r="AA136" s="60">
        <f t="shared" si="28"/>
        <v>6.130393650367889</v>
      </c>
      <c r="AB136" s="61">
        <f t="shared" si="29"/>
        <v>16</v>
      </c>
    </row>
    <row r="137" spans="3:28" ht="12.75">
      <c r="C137" s="59">
        <v>17</v>
      </c>
      <c r="D137" s="60">
        <f t="shared" si="26"/>
        <v>1.0884865070324012</v>
      </c>
      <c r="E137" s="60">
        <f aca="true" t="shared" si="31" ref="E137:S137">FV(E$120,$C137,,-$B$121)</f>
        <v>1.1843044313729358</v>
      </c>
      <c r="F137" s="60">
        <f t="shared" si="31"/>
        <v>1.2880203308689948</v>
      </c>
      <c r="G137" s="60">
        <f t="shared" si="31"/>
        <v>1.4002414191924244</v>
      </c>
      <c r="H137" s="60">
        <f t="shared" si="31"/>
        <v>1.521618261177077</v>
      </c>
      <c r="I137" s="60">
        <f t="shared" si="31"/>
        <v>1.6528476322717507</v>
      </c>
      <c r="J137" s="60">
        <f t="shared" si="31"/>
        <v>1.7946755512224815</v>
      </c>
      <c r="K137" s="60">
        <f t="shared" si="31"/>
        <v>1.9479004955562815</v>
      </c>
      <c r="L137" s="60">
        <f t="shared" si="31"/>
        <v>2.1133768099166144</v>
      </c>
      <c r="M137" s="60">
        <f t="shared" si="31"/>
        <v>2.292018317801033</v>
      </c>
      <c r="N137" s="60">
        <f t="shared" si="31"/>
        <v>2.4848021477731437</v>
      </c>
      <c r="O137" s="60">
        <f t="shared" si="31"/>
        <v>2.692772785766814</v>
      </c>
      <c r="P137" s="60">
        <f t="shared" si="31"/>
        <v>2.917046365669324</v>
      </c>
      <c r="Q137" s="60">
        <f t="shared" si="31"/>
        <v>3.158815210964986</v>
      </c>
      <c r="R137" s="60">
        <f t="shared" si="31"/>
        <v>3.4193526408404677</v>
      </c>
      <c r="S137" s="60">
        <f t="shared" si="31"/>
        <v>3.700018054800864</v>
      </c>
      <c r="T137" s="60">
        <f t="shared" si="30"/>
        <v>4.002262310520183</v>
      </c>
      <c r="U137" s="60">
        <f t="shared" si="30"/>
        <v>4.327633410354746</v>
      </c>
      <c r="V137" s="60">
        <f t="shared" si="30"/>
        <v>4.677782512681918</v>
      </c>
      <c r="W137" s="60">
        <f t="shared" si="30"/>
        <v>5.054470284992943</v>
      </c>
      <c r="X137" s="60">
        <f t="shared" si="30"/>
        <v>5.4595736164663355</v>
      </c>
      <c r="Y137" s="60">
        <f t="shared" si="30"/>
        <v>5.895092708580861</v>
      </c>
      <c r="Z137" s="60">
        <f t="shared" si="30"/>
        <v>6.363158563193546</v>
      </c>
      <c r="AA137" s="60">
        <f t="shared" si="30"/>
        <v>6.866040888412036</v>
      </c>
      <c r="AB137" s="61">
        <f t="shared" si="29"/>
        <v>17</v>
      </c>
    </row>
    <row r="138" spans="3:28" ht="12.75">
      <c r="C138" s="59">
        <v>18</v>
      </c>
      <c r="D138" s="60">
        <f aca="true" t="shared" si="32" ref="D138:S153">FV(D$120,$C138,,-$B$121)</f>
        <v>1.0939289395675629</v>
      </c>
      <c r="E138" s="60">
        <f t="shared" si="32"/>
        <v>1.1961474756866652</v>
      </c>
      <c r="F138" s="60">
        <f t="shared" si="32"/>
        <v>1.3073406358320296</v>
      </c>
      <c r="G138" s="60">
        <f t="shared" si="32"/>
        <v>1.4282462475762727</v>
      </c>
      <c r="H138" s="60">
        <f t="shared" si="32"/>
        <v>1.559658717706504</v>
      </c>
      <c r="I138" s="60">
        <f t="shared" si="32"/>
        <v>1.7024330612399032</v>
      </c>
      <c r="J138" s="60">
        <f t="shared" si="32"/>
        <v>1.8574891955152681</v>
      </c>
      <c r="K138" s="60">
        <f t="shared" si="32"/>
        <v>2.025816515378533</v>
      </c>
      <c r="L138" s="60">
        <f t="shared" si="32"/>
        <v>2.2084787663628616</v>
      </c>
      <c r="M138" s="60">
        <f t="shared" si="32"/>
        <v>2.4066192336910848</v>
      </c>
      <c r="N138" s="60">
        <f t="shared" si="32"/>
        <v>2.6214662659006667</v>
      </c>
      <c r="O138" s="60">
        <f t="shared" si="32"/>
        <v>2.854339152912823</v>
      </c>
      <c r="P138" s="60">
        <f t="shared" si="32"/>
        <v>3.1066543794378303</v>
      </c>
      <c r="Q138" s="60">
        <f t="shared" si="32"/>
        <v>3.379932275732535</v>
      </c>
      <c r="R138" s="60">
        <f t="shared" si="32"/>
        <v>3.6758040889035026</v>
      </c>
      <c r="S138" s="60">
        <f t="shared" si="32"/>
        <v>3.9960194991849334</v>
      </c>
      <c r="T138" s="60">
        <f t="shared" si="30"/>
        <v>4.342454606914399</v>
      </c>
      <c r="U138" s="60">
        <f t="shared" si="30"/>
        <v>4.717120417286674</v>
      </c>
      <c r="V138" s="60">
        <f t="shared" si="30"/>
        <v>5.1221718513867005</v>
      </c>
      <c r="W138" s="60">
        <f t="shared" si="30"/>
        <v>5.559917313492238</v>
      </c>
      <c r="X138" s="60">
        <f t="shared" si="30"/>
        <v>6.032828846195301</v>
      </c>
      <c r="Y138" s="60">
        <f t="shared" si="30"/>
        <v>6.543552906524756</v>
      </c>
      <c r="Z138" s="60">
        <f t="shared" si="30"/>
        <v>7.094921797960804</v>
      </c>
      <c r="AA138" s="60">
        <f t="shared" si="30"/>
        <v>7.6899657950214815</v>
      </c>
      <c r="AB138" s="61">
        <f t="shared" si="29"/>
        <v>18</v>
      </c>
    </row>
    <row r="139" spans="3:28" ht="12.75">
      <c r="C139" s="59">
        <v>19</v>
      </c>
      <c r="D139" s="60">
        <f t="shared" si="32"/>
        <v>1.0993985842654006</v>
      </c>
      <c r="E139" s="60">
        <f t="shared" si="32"/>
        <v>1.2081089504435316</v>
      </c>
      <c r="F139" s="60">
        <f t="shared" si="32"/>
        <v>1.32695074536951</v>
      </c>
      <c r="G139" s="60">
        <f t="shared" si="32"/>
        <v>1.4568111725277981</v>
      </c>
      <c r="H139" s="60">
        <f t="shared" si="32"/>
        <v>1.5986501856491666</v>
      </c>
      <c r="I139" s="60">
        <f t="shared" si="32"/>
        <v>1.7535060530771003</v>
      </c>
      <c r="J139" s="60">
        <f t="shared" si="32"/>
        <v>1.9225013173583023</v>
      </c>
      <c r="K139" s="60">
        <f t="shared" si="32"/>
        <v>2.1068491759936743</v>
      </c>
      <c r="L139" s="60">
        <f t="shared" si="32"/>
        <v>2.30786031084919</v>
      </c>
      <c r="M139" s="60">
        <f t="shared" si="32"/>
        <v>2.526950195375639</v>
      </c>
      <c r="N139" s="60">
        <f t="shared" si="32"/>
        <v>2.765646910525203</v>
      </c>
      <c r="O139" s="60">
        <f t="shared" si="32"/>
        <v>3.0255995020875925</v>
      </c>
      <c r="P139" s="60">
        <f t="shared" si="32"/>
        <v>3.308586914101289</v>
      </c>
      <c r="Q139" s="60">
        <f t="shared" si="32"/>
        <v>3.616527535033813</v>
      </c>
      <c r="R139" s="60">
        <f t="shared" si="32"/>
        <v>3.9514893955712656</v>
      </c>
      <c r="S139" s="60">
        <f t="shared" si="32"/>
        <v>4.3157010591197285</v>
      </c>
      <c r="T139" s="60">
        <f t="shared" si="30"/>
        <v>4.711563248502123</v>
      </c>
      <c r="U139" s="60">
        <f t="shared" si="30"/>
        <v>5.141661254842475</v>
      </c>
      <c r="V139" s="60">
        <f t="shared" si="30"/>
        <v>5.608778177268436</v>
      </c>
      <c r="W139" s="60">
        <f t="shared" si="30"/>
        <v>6.115909044841463</v>
      </c>
      <c r="X139" s="60">
        <f t="shared" si="30"/>
        <v>6.666275875045807</v>
      </c>
      <c r="Y139" s="60">
        <f t="shared" si="30"/>
        <v>7.263343726242479</v>
      </c>
      <c r="Z139" s="60">
        <f t="shared" si="30"/>
        <v>7.910837804726297</v>
      </c>
      <c r="AA139" s="60">
        <f t="shared" si="30"/>
        <v>8.61276169042406</v>
      </c>
      <c r="AB139" s="61">
        <f t="shared" si="29"/>
        <v>19</v>
      </c>
    </row>
    <row r="140" spans="3:28" ht="13.5" thickBot="1">
      <c r="C140" s="62">
        <v>20</v>
      </c>
      <c r="D140" s="63">
        <f t="shared" si="32"/>
        <v>1.1048955771867275</v>
      </c>
      <c r="E140" s="63">
        <f t="shared" si="32"/>
        <v>1.220190039947967</v>
      </c>
      <c r="F140" s="63">
        <f t="shared" si="32"/>
        <v>1.3468550065500522</v>
      </c>
      <c r="G140" s="63">
        <f t="shared" si="32"/>
        <v>1.4859473959783542</v>
      </c>
      <c r="H140" s="63">
        <f t="shared" si="32"/>
        <v>1.6386164402903955</v>
      </c>
      <c r="I140" s="63">
        <f t="shared" si="32"/>
        <v>1.8061112346694133</v>
      </c>
      <c r="J140" s="63">
        <f t="shared" si="32"/>
        <v>1.9897888634658427</v>
      </c>
      <c r="K140" s="63">
        <f t="shared" si="32"/>
        <v>2.1911231430334213</v>
      </c>
      <c r="L140" s="63">
        <f t="shared" si="32"/>
        <v>2.411714024837403</v>
      </c>
      <c r="M140" s="63">
        <f t="shared" si="32"/>
        <v>2.653297705144421</v>
      </c>
      <c r="N140" s="63">
        <f t="shared" si="32"/>
        <v>2.9177574906040893</v>
      </c>
      <c r="O140" s="63">
        <f t="shared" si="32"/>
        <v>3.207135472212848</v>
      </c>
      <c r="P140" s="63">
        <f t="shared" si="32"/>
        <v>3.5236450635178724</v>
      </c>
      <c r="Q140" s="63">
        <f t="shared" si="32"/>
        <v>3.8696844624861795</v>
      </c>
      <c r="R140" s="63">
        <f t="shared" si="32"/>
        <v>4.24785110023911</v>
      </c>
      <c r="S140" s="63">
        <f t="shared" si="32"/>
        <v>4.6609571438493065</v>
      </c>
      <c r="T140" s="63">
        <f t="shared" si="30"/>
        <v>5.112046124624802</v>
      </c>
      <c r="U140" s="63">
        <f t="shared" si="30"/>
        <v>5.6044107677782975</v>
      </c>
      <c r="V140" s="63">
        <f t="shared" si="30"/>
        <v>6.141612104108938</v>
      </c>
      <c r="W140" s="63">
        <f t="shared" si="30"/>
        <v>6.727499949325609</v>
      </c>
      <c r="X140" s="63">
        <f t="shared" si="30"/>
        <v>7.366234841925618</v>
      </c>
      <c r="Y140" s="63">
        <f t="shared" si="30"/>
        <v>8.062311536129153</v>
      </c>
      <c r="Z140" s="63">
        <f t="shared" si="30"/>
        <v>8.820584152269822</v>
      </c>
      <c r="AA140" s="63">
        <f t="shared" si="30"/>
        <v>9.646293093274947</v>
      </c>
      <c r="AB140" s="64">
        <f t="shared" si="29"/>
        <v>20</v>
      </c>
    </row>
    <row r="141" spans="3:28" ht="13.5" thickTop="1">
      <c r="C141" s="59">
        <v>21</v>
      </c>
      <c r="D141" s="60">
        <f t="shared" si="32"/>
        <v>1.1104200550726608</v>
      </c>
      <c r="E141" s="60">
        <f t="shared" si="32"/>
        <v>1.2323919403474466</v>
      </c>
      <c r="F141" s="60">
        <f t="shared" si="32"/>
        <v>1.3670578316483029</v>
      </c>
      <c r="G141" s="60">
        <f t="shared" si="32"/>
        <v>1.5156663438979212</v>
      </c>
      <c r="H141" s="60">
        <f t="shared" si="32"/>
        <v>1.6795818512976552</v>
      </c>
      <c r="I141" s="60">
        <f t="shared" si="32"/>
        <v>1.8602945717094954</v>
      </c>
      <c r="J141" s="60">
        <f t="shared" si="32"/>
        <v>2.059431473687147</v>
      </c>
      <c r="K141" s="60">
        <f t="shared" si="32"/>
        <v>2.2787680687547587</v>
      </c>
      <c r="L141" s="60">
        <f t="shared" si="32"/>
        <v>2.5202411559550866</v>
      </c>
      <c r="M141" s="60">
        <f t="shared" si="32"/>
        <v>2.785962590401642</v>
      </c>
      <c r="N141" s="60">
        <f t="shared" si="32"/>
        <v>3.078234152587314</v>
      </c>
      <c r="O141" s="60">
        <f t="shared" si="32"/>
        <v>3.3995636005456196</v>
      </c>
      <c r="P141" s="60">
        <f t="shared" si="32"/>
        <v>3.752681992646534</v>
      </c>
      <c r="Q141" s="60">
        <f t="shared" si="32"/>
        <v>4.140562374860212</v>
      </c>
      <c r="R141" s="60">
        <f t="shared" si="32"/>
        <v>4.566439932757044</v>
      </c>
      <c r="S141" s="60">
        <f t="shared" si="32"/>
        <v>5.033833715357251</v>
      </c>
      <c r="T141" s="60">
        <f t="shared" si="30"/>
        <v>5.54657004521791</v>
      </c>
      <c r="U141" s="60">
        <f t="shared" si="30"/>
        <v>6.1088077368783456</v>
      </c>
      <c r="V141" s="60">
        <f t="shared" si="30"/>
        <v>6.725065253999287</v>
      </c>
      <c r="W141" s="60">
        <f t="shared" si="30"/>
        <v>7.400249944258171</v>
      </c>
      <c r="X141" s="60">
        <f t="shared" si="30"/>
        <v>8.139689500327808</v>
      </c>
      <c r="Y141" s="60">
        <f t="shared" si="30"/>
        <v>8.94916580510336</v>
      </c>
      <c r="Z141" s="60">
        <f t="shared" si="30"/>
        <v>9.834951329780852</v>
      </c>
      <c r="AA141" s="60">
        <f t="shared" si="30"/>
        <v>10.803848264467941</v>
      </c>
      <c r="AB141" s="61">
        <f t="shared" si="29"/>
        <v>21</v>
      </c>
    </row>
    <row r="142" spans="3:28" ht="12.75">
      <c r="C142" s="59">
        <v>22</v>
      </c>
      <c r="D142" s="60">
        <f t="shared" si="32"/>
        <v>1.115972155348024</v>
      </c>
      <c r="E142" s="60">
        <f t="shared" si="32"/>
        <v>1.2447158597509214</v>
      </c>
      <c r="F142" s="60">
        <f t="shared" si="32"/>
        <v>1.3875636991230271</v>
      </c>
      <c r="G142" s="60">
        <f t="shared" si="32"/>
        <v>1.5459796707758797</v>
      </c>
      <c r="H142" s="60">
        <f t="shared" si="32"/>
        <v>1.7215713975800966</v>
      </c>
      <c r="I142" s="60">
        <f t="shared" si="32"/>
        <v>1.9161034088607805</v>
      </c>
      <c r="J142" s="60">
        <f t="shared" si="32"/>
        <v>2.131511575266197</v>
      </c>
      <c r="K142" s="60">
        <f t="shared" si="32"/>
        <v>2.369918791504949</v>
      </c>
      <c r="L142" s="60">
        <f t="shared" si="32"/>
        <v>2.6336520079730645</v>
      </c>
      <c r="M142" s="60">
        <f t="shared" si="32"/>
        <v>2.9252607199217238</v>
      </c>
      <c r="N142" s="60">
        <f t="shared" si="32"/>
        <v>3.247537030979616</v>
      </c>
      <c r="O142" s="60">
        <f t="shared" si="32"/>
        <v>3.603537416578357</v>
      </c>
      <c r="P142" s="60">
        <f t="shared" si="32"/>
        <v>3.996606322168558</v>
      </c>
      <c r="Q142" s="60">
        <f t="shared" si="32"/>
        <v>4.430401741100427</v>
      </c>
      <c r="R142" s="60">
        <f t="shared" si="32"/>
        <v>4.908922927713822</v>
      </c>
      <c r="S142" s="60">
        <f t="shared" si="32"/>
        <v>5.436540412585832</v>
      </c>
      <c r="T142" s="60">
        <f t="shared" si="30"/>
        <v>6.018028499061432</v>
      </c>
      <c r="U142" s="60">
        <f t="shared" si="30"/>
        <v>6.658600433197397</v>
      </c>
      <c r="V142" s="60">
        <f t="shared" si="30"/>
        <v>7.36394645312922</v>
      </c>
      <c r="W142" s="60">
        <f t="shared" si="30"/>
        <v>8.140274938683989</v>
      </c>
      <c r="X142" s="60">
        <f t="shared" si="30"/>
        <v>8.994356897862229</v>
      </c>
      <c r="Y142" s="60">
        <f t="shared" si="30"/>
        <v>9.93357404366473</v>
      </c>
      <c r="Z142" s="60">
        <f t="shared" si="30"/>
        <v>10.96597073270565</v>
      </c>
      <c r="AA142" s="60">
        <f t="shared" si="30"/>
        <v>12.100310056204096</v>
      </c>
      <c r="AB142" s="61">
        <f t="shared" si="29"/>
        <v>22</v>
      </c>
    </row>
    <row r="143" spans="3:28" ht="12.75">
      <c r="C143" s="59">
        <v>23</v>
      </c>
      <c r="D143" s="60">
        <f t="shared" si="32"/>
        <v>1.1215520161247639</v>
      </c>
      <c r="E143" s="60">
        <f t="shared" si="32"/>
        <v>1.2571630183484304</v>
      </c>
      <c r="F143" s="60">
        <f t="shared" si="32"/>
        <v>1.4083771546098725</v>
      </c>
      <c r="G143" s="60">
        <f t="shared" si="32"/>
        <v>1.576899264191397</v>
      </c>
      <c r="H143" s="60">
        <f t="shared" si="32"/>
        <v>1.764610682519599</v>
      </c>
      <c r="I143" s="60">
        <f t="shared" si="32"/>
        <v>1.973586511126604</v>
      </c>
      <c r="J143" s="60">
        <f t="shared" si="32"/>
        <v>2.206114480400514</v>
      </c>
      <c r="K143" s="60">
        <f t="shared" si="32"/>
        <v>2.4647155431651466</v>
      </c>
      <c r="L143" s="60">
        <f t="shared" si="32"/>
        <v>2.7521663483318526</v>
      </c>
      <c r="M143" s="60">
        <f t="shared" si="32"/>
        <v>3.0715237559178106</v>
      </c>
      <c r="N143" s="60">
        <f t="shared" si="32"/>
        <v>3.426151567683495</v>
      </c>
      <c r="O143" s="60">
        <f t="shared" si="32"/>
        <v>3.819749661573059</v>
      </c>
      <c r="P143" s="60">
        <f t="shared" si="32"/>
        <v>4.256385733109513</v>
      </c>
      <c r="Q143" s="60">
        <f t="shared" si="32"/>
        <v>4.740529862977457</v>
      </c>
      <c r="R143" s="60">
        <f t="shared" si="32"/>
        <v>5.277092147292358</v>
      </c>
      <c r="S143" s="60">
        <f t="shared" si="32"/>
        <v>5.871463645592699</v>
      </c>
      <c r="T143" s="60">
        <f t="shared" si="30"/>
        <v>6.5295609214816555</v>
      </c>
      <c r="U143" s="60">
        <f t="shared" si="30"/>
        <v>7.257874472185162</v>
      </c>
      <c r="V143" s="60">
        <f t="shared" si="30"/>
        <v>8.063521366176495</v>
      </c>
      <c r="W143" s="60">
        <f t="shared" si="30"/>
        <v>8.954302432552389</v>
      </c>
      <c r="X143" s="60">
        <f t="shared" si="30"/>
        <v>9.938764372137761</v>
      </c>
      <c r="Y143" s="60">
        <f t="shared" si="30"/>
        <v>11.02626718846785</v>
      </c>
      <c r="Z143" s="60">
        <f t="shared" si="30"/>
        <v>12.227057366966799</v>
      </c>
      <c r="AA143" s="60">
        <f t="shared" si="30"/>
        <v>13.552347262948587</v>
      </c>
      <c r="AB143" s="61">
        <f t="shared" si="29"/>
        <v>23</v>
      </c>
    </row>
    <row r="144" spans="3:28" ht="12.75">
      <c r="C144" s="59">
        <v>24</v>
      </c>
      <c r="D144" s="60">
        <f t="shared" si="32"/>
        <v>1.1271597762053878</v>
      </c>
      <c r="E144" s="60">
        <f t="shared" si="32"/>
        <v>1.269734648531915</v>
      </c>
      <c r="F144" s="60">
        <f t="shared" si="32"/>
        <v>1.4295028119290203</v>
      </c>
      <c r="G144" s="60">
        <f t="shared" si="32"/>
        <v>1.608437249475225</v>
      </c>
      <c r="H144" s="60">
        <f t="shared" si="32"/>
        <v>1.808725949582589</v>
      </c>
      <c r="I144" s="60">
        <f t="shared" si="32"/>
        <v>2.032794106460402</v>
      </c>
      <c r="J144" s="60">
        <f t="shared" si="32"/>
        <v>2.2833284872145314</v>
      </c>
      <c r="K144" s="60">
        <f t="shared" si="32"/>
        <v>2.5633041648917527</v>
      </c>
      <c r="L144" s="60">
        <f t="shared" si="32"/>
        <v>2.8760138340067853</v>
      </c>
      <c r="M144" s="60">
        <f t="shared" si="32"/>
        <v>3.2250999437137007</v>
      </c>
      <c r="N144" s="60">
        <f t="shared" si="32"/>
        <v>3.614589903906087</v>
      </c>
      <c r="O144" s="60">
        <f t="shared" si="32"/>
        <v>4.048934641267442</v>
      </c>
      <c r="P144" s="60">
        <f t="shared" si="32"/>
        <v>4.533050805761632</v>
      </c>
      <c r="Q144" s="60">
        <f t="shared" si="32"/>
        <v>5.072366953385879</v>
      </c>
      <c r="R144" s="60">
        <f t="shared" si="32"/>
        <v>5.672874058339285</v>
      </c>
      <c r="S144" s="60">
        <f t="shared" si="32"/>
        <v>6.341180737240115</v>
      </c>
      <c r="T144" s="60">
        <f t="shared" si="30"/>
        <v>7.0845735998075945</v>
      </c>
      <c r="U144" s="60">
        <f t="shared" si="30"/>
        <v>7.911083174681828</v>
      </c>
      <c r="V144" s="60">
        <f t="shared" si="30"/>
        <v>8.829555895963264</v>
      </c>
      <c r="W144" s="60">
        <f t="shared" si="30"/>
        <v>9.849732675807626</v>
      </c>
      <c r="X144" s="60">
        <f t="shared" si="30"/>
        <v>10.982334631212227</v>
      </c>
      <c r="Y144" s="60">
        <f t="shared" si="30"/>
        <v>12.239156579199317</v>
      </c>
      <c r="Z144" s="60">
        <f t="shared" si="30"/>
        <v>13.633168964167982</v>
      </c>
      <c r="AA144" s="60">
        <f t="shared" si="30"/>
        <v>15.178628934502418</v>
      </c>
      <c r="AB144" s="61">
        <f t="shared" si="29"/>
        <v>24</v>
      </c>
    </row>
    <row r="145" spans="3:28" ht="13.5" thickBot="1">
      <c r="C145" s="62">
        <v>25</v>
      </c>
      <c r="D145" s="63">
        <f t="shared" si="32"/>
        <v>1.1327955750864145</v>
      </c>
      <c r="E145" s="63">
        <f t="shared" si="32"/>
        <v>1.2824319950172343</v>
      </c>
      <c r="F145" s="63">
        <f t="shared" si="32"/>
        <v>1.4509453541079556</v>
      </c>
      <c r="G145" s="63">
        <f t="shared" si="32"/>
        <v>1.6406059944647295</v>
      </c>
      <c r="H145" s="63">
        <f t="shared" si="32"/>
        <v>1.8539440983221533</v>
      </c>
      <c r="I145" s="63">
        <f t="shared" si="32"/>
        <v>2.093777929654214</v>
      </c>
      <c r="J145" s="63">
        <f t="shared" si="32"/>
        <v>2.3632449842670398</v>
      </c>
      <c r="K145" s="63">
        <f t="shared" si="32"/>
        <v>2.6658363314874234</v>
      </c>
      <c r="L145" s="63">
        <f t="shared" si="32"/>
        <v>3.0054344565370905</v>
      </c>
      <c r="M145" s="63">
        <f t="shared" si="32"/>
        <v>3.386354940899386</v>
      </c>
      <c r="N145" s="63">
        <f t="shared" si="32"/>
        <v>3.813392348620922</v>
      </c>
      <c r="O145" s="63">
        <f t="shared" si="32"/>
        <v>4.291870719743488</v>
      </c>
      <c r="P145" s="63">
        <f t="shared" si="32"/>
        <v>4.827699108136138</v>
      </c>
      <c r="Q145" s="63">
        <f t="shared" si="32"/>
        <v>5.427432640122891</v>
      </c>
      <c r="R145" s="63">
        <f t="shared" si="32"/>
        <v>6.098339612714732</v>
      </c>
      <c r="S145" s="63">
        <f t="shared" si="32"/>
        <v>6.848475196219325</v>
      </c>
      <c r="T145" s="63">
        <f t="shared" si="30"/>
        <v>7.68676235579124</v>
      </c>
      <c r="U145" s="63">
        <f t="shared" si="30"/>
        <v>8.623080660403193</v>
      </c>
      <c r="V145" s="63">
        <f t="shared" si="30"/>
        <v>9.668363706079772</v>
      </c>
      <c r="W145" s="63">
        <f t="shared" si="30"/>
        <v>10.834705943388391</v>
      </c>
      <c r="X145" s="63">
        <f t="shared" si="30"/>
        <v>12.13547976748951</v>
      </c>
      <c r="Y145" s="63">
        <f t="shared" si="30"/>
        <v>13.585463802911244</v>
      </c>
      <c r="Z145" s="63">
        <f t="shared" si="30"/>
        <v>15.200983395047299</v>
      </c>
      <c r="AA145" s="63">
        <f t="shared" si="30"/>
        <v>17.00006440664271</v>
      </c>
      <c r="AB145" s="64">
        <f t="shared" si="29"/>
        <v>25</v>
      </c>
    </row>
    <row r="146" spans="3:28" ht="13.5" thickTop="1">
      <c r="C146" s="59">
        <v>26</v>
      </c>
      <c r="D146" s="60">
        <f t="shared" si="32"/>
        <v>1.1384595529618464</v>
      </c>
      <c r="E146" s="60">
        <f t="shared" si="32"/>
        <v>1.2952563149674066</v>
      </c>
      <c r="F146" s="60">
        <f t="shared" si="32"/>
        <v>1.4727095344195746</v>
      </c>
      <c r="G146" s="60">
        <f t="shared" si="32"/>
        <v>1.6734181143540243</v>
      </c>
      <c r="H146" s="60">
        <f t="shared" si="32"/>
        <v>1.900292700780207</v>
      </c>
      <c r="I146" s="60">
        <f t="shared" si="32"/>
        <v>2.1565912675438406</v>
      </c>
      <c r="J146" s="60">
        <f t="shared" si="32"/>
        <v>2.445958558716386</v>
      </c>
      <c r="K146" s="60">
        <f t="shared" si="32"/>
        <v>2.77246978474692</v>
      </c>
      <c r="L146" s="60">
        <f t="shared" si="32"/>
        <v>3.1406790070812587</v>
      </c>
      <c r="M146" s="60">
        <f t="shared" si="32"/>
        <v>3.555672687944355</v>
      </c>
      <c r="N146" s="60">
        <f t="shared" si="32"/>
        <v>4.023128927795073</v>
      </c>
      <c r="O146" s="60">
        <f t="shared" si="32"/>
        <v>4.549382962928098</v>
      </c>
      <c r="P146" s="60">
        <f t="shared" si="32"/>
        <v>5.141499550164986</v>
      </c>
      <c r="Q146" s="60">
        <f t="shared" si="32"/>
        <v>5.807352924931493</v>
      </c>
      <c r="R146" s="60">
        <f t="shared" si="32"/>
        <v>6.555715083668335</v>
      </c>
      <c r="S146" s="60">
        <f t="shared" si="32"/>
        <v>7.39635321191687</v>
      </c>
      <c r="T146" s="60">
        <f t="shared" si="30"/>
        <v>8.340137156033496</v>
      </c>
      <c r="U146" s="60">
        <f t="shared" si="30"/>
        <v>9.399157919839482</v>
      </c>
      <c r="V146" s="60">
        <f t="shared" si="30"/>
        <v>10.586858258157353</v>
      </c>
      <c r="W146" s="60">
        <f t="shared" si="30"/>
        <v>11.91817653772723</v>
      </c>
      <c r="X146" s="60">
        <f t="shared" si="30"/>
        <v>13.409705143075909</v>
      </c>
      <c r="Y146" s="60">
        <f t="shared" si="30"/>
        <v>15.079864821231482</v>
      </c>
      <c r="Z146" s="60">
        <f t="shared" si="30"/>
        <v>16.94909648547774</v>
      </c>
      <c r="AA146" s="60">
        <f t="shared" si="30"/>
        <v>19.040072135439836</v>
      </c>
      <c r="AB146" s="61">
        <f t="shared" si="29"/>
        <v>26</v>
      </c>
    </row>
    <row r="147" spans="3:28" ht="12.75">
      <c r="C147" s="59">
        <v>27</v>
      </c>
      <c r="D147" s="60">
        <f t="shared" si="32"/>
        <v>1.1441518507266555</v>
      </c>
      <c r="E147" s="60">
        <f t="shared" si="32"/>
        <v>1.3082088781170802</v>
      </c>
      <c r="F147" s="60">
        <f t="shared" si="32"/>
        <v>1.4948001774358681</v>
      </c>
      <c r="G147" s="60">
        <f t="shared" si="32"/>
        <v>1.7068864766411045</v>
      </c>
      <c r="H147" s="60">
        <f t="shared" si="32"/>
        <v>1.9478000182997122</v>
      </c>
      <c r="I147" s="60">
        <f t="shared" si="32"/>
        <v>2.2212890055701555</v>
      </c>
      <c r="J147" s="60">
        <f t="shared" si="32"/>
        <v>2.5315671082714597</v>
      </c>
      <c r="K147" s="60">
        <f t="shared" si="32"/>
        <v>2.883368576136797</v>
      </c>
      <c r="L147" s="60">
        <f t="shared" si="32"/>
        <v>3.2820095623999155</v>
      </c>
      <c r="M147" s="60">
        <f t="shared" si="32"/>
        <v>3.7334563223415733</v>
      </c>
      <c r="N147" s="60">
        <f t="shared" si="32"/>
        <v>4.244401018823801</v>
      </c>
      <c r="O147" s="60">
        <f t="shared" si="32"/>
        <v>4.8223459407037845</v>
      </c>
      <c r="P147" s="60">
        <f t="shared" si="32"/>
        <v>5.475697020925709</v>
      </c>
      <c r="Q147" s="60">
        <f t="shared" si="32"/>
        <v>6.213867629676699</v>
      </c>
      <c r="R147" s="60">
        <f t="shared" si="32"/>
        <v>7.0473937149434605</v>
      </c>
      <c r="S147" s="60">
        <f t="shared" si="32"/>
        <v>7.98806146887022</v>
      </c>
      <c r="T147" s="60">
        <f t="shared" si="30"/>
        <v>9.049048814296343</v>
      </c>
      <c r="U147" s="60">
        <f t="shared" si="30"/>
        <v>10.245082132625035</v>
      </c>
      <c r="V147" s="60">
        <f t="shared" si="30"/>
        <v>11.5926097926823</v>
      </c>
      <c r="W147" s="60">
        <f t="shared" si="30"/>
        <v>13.109994191499956</v>
      </c>
      <c r="X147" s="60">
        <f t="shared" si="30"/>
        <v>14.817724183098878</v>
      </c>
      <c r="Y147" s="60">
        <f t="shared" si="30"/>
        <v>16.738649951566945</v>
      </c>
      <c r="Z147" s="60">
        <f t="shared" si="30"/>
        <v>18.89824258130768</v>
      </c>
      <c r="AA147" s="60">
        <f t="shared" si="30"/>
        <v>21.32488079169262</v>
      </c>
      <c r="AB147" s="61">
        <f t="shared" si="29"/>
        <v>27</v>
      </c>
    </row>
    <row r="148" spans="3:28" ht="12.75">
      <c r="C148" s="59">
        <v>28</v>
      </c>
      <c r="D148" s="60">
        <f t="shared" si="32"/>
        <v>1.1498726099802885</v>
      </c>
      <c r="E148" s="60">
        <f t="shared" si="32"/>
        <v>1.321290966898251</v>
      </c>
      <c r="F148" s="60">
        <f t="shared" si="32"/>
        <v>1.5172221800974057</v>
      </c>
      <c r="G148" s="60">
        <f t="shared" si="32"/>
        <v>1.741024206173927</v>
      </c>
      <c r="H148" s="60">
        <f t="shared" si="32"/>
        <v>1.9964950187572048</v>
      </c>
      <c r="I148" s="60">
        <f t="shared" si="32"/>
        <v>2.28792767573726</v>
      </c>
      <c r="J148" s="60">
        <f t="shared" si="32"/>
        <v>2.6201719570609607</v>
      </c>
      <c r="K148" s="60">
        <f t="shared" si="32"/>
        <v>2.9987033191822694</v>
      </c>
      <c r="L148" s="60">
        <f t="shared" si="32"/>
        <v>3.429699992707911</v>
      </c>
      <c r="M148" s="60">
        <f t="shared" si="32"/>
        <v>3.9201291384586514</v>
      </c>
      <c r="N148" s="60">
        <f t="shared" si="32"/>
        <v>4.47784307485911</v>
      </c>
      <c r="O148" s="60">
        <f t="shared" si="32"/>
        <v>5.111686697146012</v>
      </c>
      <c r="P148" s="60">
        <f t="shared" si="32"/>
        <v>5.83161732728588</v>
      </c>
      <c r="Q148" s="60">
        <f t="shared" si="32"/>
        <v>6.6488383637540664</v>
      </c>
      <c r="R148" s="60">
        <f t="shared" si="32"/>
        <v>7.57594824356422</v>
      </c>
      <c r="S148" s="60">
        <f t="shared" si="32"/>
        <v>8.627106386379838</v>
      </c>
      <c r="T148" s="60">
        <f t="shared" si="30"/>
        <v>9.81821796351153</v>
      </c>
      <c r="U148" s="60">
        <f t="shared" si="30"/>
        <v>11.167139524561287</v>
      </c>
      <c r="V148" s="60">
        <f t="shared" si="30"/>
        <v>12.693907722987118</v>
      </c>
      <c r="W148" s="60">
        <f t="shared" si="30"/>
        <v>14.420993610649951</v>
      </c>
      <c r="X148" s="60">
        <f t="shared" si="30"/>
        <v>16.373585222324262</v>
      </c>
      <c r="Y148" s="60">
        <f t="shared" si="30"/>
        <v>18.57990144623931</v>
      </c>
      <c r="Z148" s="60">
        <f t="shared" si="30"/>
        <v>21.071540478158067</v>
      </c>
      <c r="AA148" s="60">
        <f t="shared" si="30"/>
        <v>23.883866486695734</v>
      </c>
      <c r="AB148" s="61">
        <f t="shared" si="29"/>
        <v>28</v>
      </c>
    </row>
    <row r="149" spans="3:28" ht="12.75">
      <c r="C149" s="59">
        <v>29</v>
      </c>
      <c r="D149" s="60">
        <f t="shared" si="32"/>
        <v>1.1556219730301898</v>
      </c>
      <c r="E149" s="60">
        <f t="shared" si="32"/>
        <v>1.3345038765672337</v>
      </c>
      <c r="F149" s="60">
        <f t="shared" si="32"/>
        <v>1.5399805127988668</v>
      </c>
      <c r="G149" s="60">
        <f t="shared" si="32"/>
        <v>1.7758446902974052</v>
      </c>
      <c r="H149" s="60">
        <f t="shared" si="32"/>
        <v>2.046407394226135</v>
      </c>
      <c r="I149" s="60">
        <f t="shared" si="32"/>
        <v>2.3565655060093778</v>
      </c>
      <c r="J149" s="60">
        <f t="shared" si="32"/>
        <v>2.7118779755580937</v>
      </c>
      <c r="K149" s="60">
        <f t="shared" si="32"/>
        <v>3.1186514519495603</v>
      </c>
      <c r="L149" s="60">
        <f t="shared" si="32"/>
        <v>3.5840364923797674</v>
      </c>
      <c r="M149" s="60">
        <f t="shared" si="32"/>
        <v>4.116135595381585</v>
      </c>
      <c r="N149" s="60">
        <f t="shared" si="32"/>
        <v>4.72412444397636</v>
      </c>
      <c r="O149" s="60">
        <f t="shared" si="32"/>
        <v>5.418387898974773</v>
      </c>
      <c r="P149" s="60">
        <f t="shared" si="32"/>
        <v>6.210672453559463</v>
      </c>
      <c r="Q149" s="60">
        <f t="shared" si="32"/>
        <v>7.114257049216851</v>
      </c>
      <c r="R149" s="60">
        <f t="shared" si="32"/>
        <v>8.144144361831538</v>
      </c>
      <c r="S149" s="60">
        <f t="shared" si="32"/>
        <v>9.317274897290226</v>
      </c>
      <c r="T149" s="60">
        <f t="shared" si="30"/>
        <v>10.652766490410011</v>
      </c>
      <c r="U149" s="60">
        <f t="shared" si="30"/>
        <v>12.172182081771805</v>
      </c>
      <c r="V149" s="60">
        <f t="shared" si="30"/>
        <v>13.899828956670893</v>
      </c>
      <c r="W149" s="60">
        <f t="shared" si="30"/>
        <v>15.863092971714947</v>
      </c>
      <c r="X149" s="60">
        <f t="shared" si="30"/>
        <v>18.09281167066831</v>
      </c>
      <c r="Y149" s="60">
        <f t="shared" si="30"/>
        <v>20.623690605325635</v>
      </c>
      <c r="Z149" s="60">
        <f t="shared" si="30"/>
        <v>23.494767633146243</v>
      </c>
      <c r="AA149" s="60">
        <f t="shared" si="30"/>
        <v>26.749930465099226</v>
      </c>
      <c r="AB149" s="61">
        <f t="shared" si="29"/>
        <v>29</v>
      </c>
    </row>
    <row r="150" spans="3:28" ht="13.5" thickBot="1">
      <c r="C150" s="62">
        <v>30</v>
      </c>
      <c r="D150" s="63">
        <f t="shared" si="32"/>
        <v>1.1614000828953406</v>
      </c>
      <c r="E150" s="63">
        <f t="shared" si="32"/>
        <v>1.3478489153329063</v>
      </c>
      <c r="F150" s="63">
        <f t="shared" si="32"/>
        <v>1.5630802204908494</v>
      </c>
      <c r="G150" s="63">
        <f t="shared" si="32"/>
        <v>1.8113615841033535</v>
      </c>
      <c r="H150" s="63">
        <f t="shared" si="32"/>
        <v>2.097567579081788</v>
      </c>
      <c r="I150" s="63">
        <f t="shared" si="32"/>
        <v>2.427262471189659</v>
      </c>
      <c r="J150" s="63">
        <f t="shared" si="32"/>
        <v>2.8067937047026272</v>
      </c>
      <c r="K150" s="63">
        <f t="shared" si="32"/>
        <v>3.2433975100275423</v>
      </c>
      <c r="L150" s="63">
        <f t="shared" si="32"/>
        <v>3.7453181345368556</v>
      </c>
      <c r="M150" s="63">
        <f t="shared" si="32"/>
        <v>4.3219423751506625</v>
      </c>
      <c r="N150" s="63">
        <f t="shared" si="32"/>
        <v>4.98395128839506</v>
      </c>
      <c r="O150" s="63">
        <f t="shared" si="32"/>
        <v>5.743491172913259</v>
      </c>
      <c r="P150" s="63">
        <f t="shared" si="32"/>
        <v>6.6143661630408275</v>
      </c>
      <c r="Q150" s="63">
        <f t="shared" si="32"/>
        <v>7.612255042662031</v>
      </c>
      <c r="R150" s="63">
        <f t="shared" si="32"/>
        <v>8.754955188968902</v>
      </c>
      <c r="S150" s="63">
        <f t="shared" si="32"/>
        <v>10.062656889073445</v>
      </c>
      <c r="T150" s="63">
        <f t="shared" si="30"/>
        <v>11.558251642094861</v>
      </c>
      <c r="U150" s="63">
        <f t="shared" si="30"/>
        <v>13.267678469131269</v>
      </c>
      <c r="V150" s="63">
        <f t="shared" si="30"/>
        <v>15.22031270755463</v>
      </c>
      <c r="W150" s="63">
        <f t="shared" si="30"/>
        <v>17.449402268886445</v>
      </c>
      <c r="X150" s="63">
        <f t="shared" si="30"/>
        <v>19.992556896088484</v>
      </c>
      <c r="Y150" s="63">
        <f t="shared" si="30"/>
        <v>22.892296571911455</v>
      </c>
      <c r="Z150" s="63">
        <f t="shared" si="30"/>
        <v>26.19666591095806</v>
      </c>
      <c r="AA150" s="63">
        <f t="shared" si="30"/>
        <v>29.959922120911134</v>
      </c>
      <c r="AB150" s="64">
        <f t="shared" si="29"/>
        <v>30</v>
      </c>
    </row>
    <row r="151" spans="3:28" ht="13.5" thickTop="1">
      <c r="C151" s="59">
        <v>31</v>
      </c>
      <c r="D151" s="60">
        <f t="shared" si="32"/>
        <v>1.167207083309817</v>
      </c>
      <c r="E151" s="60">
        <f t="shared" si="32"/>
        <v>1.361327404486235</v>
      </c>
      <c r="F151" s="60">
        <f t="shared" si="32"/>
        <v>1.586526423798212</v>
      </c>
      <c r="G151" s="60">
        <f t="shared" si="32"/>
        <v>1.8475888157854201</v>
      </c>
      <c r="H151" s="60">
        <f t="shared" si="32"/>
        <v>2.1500067685588333</v>
      </c>
      <c r="I151" s="60">
        <f t="shared" si="32"/>
        <v>2.5000803453253493</v>
      </c>
      <c r="J151" s="60">
        <f t="shared" si="32"/>
        <v>2.905031484367219</v>
      </c>
      <c r="K151" s="60">
        <f t="shared" si="32"/>
        <v>3.373133410428644</v>
      </c>
      <c r="L151" s="60">
        <f t="shared" si="32"/>
        <v>3.913857450591015</v>
      </c>
      <c r="M151" s="60">
        <f t="shared" si="32"/>
        <v>4.538039493908197</v>
      </c>
      <c r="N151" s="60">
        <f t="shared" si="32"/>
        <v>5.258068609256788</v>
      </c>
      <c r="O151" s="60">
        <f t="shared" si="32"/>
        <v>6.0881006432880564</v>
      </c>
      <c r="P151" s="60">
        <f t="shared" si="32"/>
        <v>7.04429996363848</v>
      </c>
      <c r="Q151" s="60">
        <f t="shared" si="32"/>
        <v>8.145112895648374</v>
      </c>
      <c r="R151" s="60">
        <f t="shared" si="32"/>
        <v>9.41157682814157</v>
      </c>
      <c r="S151" s="60">
        <f t="shared" si="32"/>
        <v>10.867669440199322</v>
      </c>
      <c r="T151" s="60">
        <f t="shared" si="30"/>
        <v>12.540703031672924</v>
      </c>
      <c r="U151" s="60">
        <f t="shared" si="30"/>
        <v>14.461769531353083</v>
      </c>
      <c r="V151" s="60">
        <f t="shared" si="30"/>
        <v>16.66624241477232</v>
      </c>
      <c r="W151" s="60">
        <f t="shared" si="30"/>
        <v>19.19434249577509</v>
      </c>
      <c r="X151" s="60">
        <f t="shared" si="30"/>
        <v>22.09177537017778</v>
      </c>
      <c r="Y151" s="60">
        <f t="shared" si="30"/>
        <v>25.410449194821716</v>
      </c>
      <c r="Z151" s="60">
        <f t="shared" si="30"/>
        <v>29.209282490718238</v>
      </c>
      <c r="AA151" s="60">
        <f t="shared" si="30"/>
        <v>33.55511277542047</v>
      </c>
      <c r="AB151" s="61">
        <f t="shared" si="29"/>
        <v>31</v>
      </c>
    </row>
    <row r="152" spans="3:28" ht="12.75">
      <c r="C152" s="59">
        <v>32</v>
      </c>
      <c r="D152" s="60">
        <f t="shared" si="32"/>
        <v>1.173043118726366</v>
      </c>
      <c r="E152" s="60">
        <f t="shared" si="32"/>
        <v>1.3749406785310976</v>
      </c>
      <c r="F152" s="60">
        <f t="shared" si="32"/>
        <v>1.610324320155185</v>
      </c>
      <c r="G152" s="60">
        <f t="shared" si="32"/>
        <v>1.884540592101129</v>
      </c>
      <c r="H152" s="60">
        <f t="shared" si="32"/>
        <v>2.2037569377728037</v>
      </c>
      <c r="I152" s="60">
        <f t="shared" si="32"/>
        <v>2.5750827556851092</v>
      </c>
      <c r="J152" s="60">
        <f t="shared" si="32"/>
        <v>3.0067075863200707</v>
      </c>
      <c r="K152" s="60">
        <f t="shared" si="32"/>
        <v>3.50805874684579</v>
      </c>
      <c r="L152" s="60">
        <f t="shared" si="32"/>
        <v>4.089981035867608</v>
      </c>
      <c r="M152" s="60">
        <f t="shared" si="32"/>
        <v>4.764941468603607</v>
      </c>
      <c r="N152" s="60">
        <f t="shared" si="32"/>
        <v>5.547262382765911</v>
      </c>
      <c r="O152" s="60">
        <f t="shared" si="32"/>
        <v>6.4533866818853385</v>
      </c>
      <c r="P152" s="60">
        <f t="shared" si="32"/>
        <v>7.50217946127498</v>
      </c>
      <c r="Q152" s="60">
        <f t="shared" si="32"/>
        <v>8.71527079834376</v>
      </c>
      <c r="R152" s="60">
        <f t="shared" si="32"/>
        <v>10.117445090252186</v>
      </c>
      <c r="S152" s="60">
        <f t="shared" si="32"/>
        <v>11.737082995415268</v>
      </c>
      <c r="T152" s="60">
        <f aca="true" t="shared" si="33" ref="T152:AA167">FV(T$120,$C152,,-$B$121)</f>
        <v>13.606662789365123</v>
      </c>
      <c r="U152" s="60">
        <f t="shared" si="33"/>
        <v>15.76332878917486</v>
      </c>
      <c r="V152" s="60">
        <f t="shared" si="33"/>
        <v>18.24953544417569</v>
      </c>
      <c r="W152" s="60">
        <f t="shared" si="33"/>
        <v>21.1137767453526</v>
      </c>
      <c r="X152" s="60">
        <f t="shared" si="33"/>
        <v>24.41141178404644</v>
      </c>
      <c r="Y152" s="60">
        <f t="shared" si="33"/>
        <v>28.20559860625211</v>
      </c>
      <c r="Z152" s="60">
        <f t="shared" si="33"/>
        <v>32.56834997715084</v>
      </c>
      <c r="AA152" s="60">
        <f t="shared" si="33"/>
        <v>37.581726308470934</v>
      </c>
      <c r="AB152" s="61">
        <f t="shared" si="29"/>
        <v>32</v>
      </c>
    </row>
    <row r="153" spans="3:28" ht="12.75">
      <c r="C153" s="59">
        <v>33</v>
      </c>
      <c r="D153" s="60">
        <f t="shared" si="32"/>
        <v>1.1789083343199975</v>
      </c>
      <c r="E153" s="60">
        <f t="shared" si="32"/>
        <v>1.3886900853164086</v>
      </c>
      <c r="F153" s="60">
        <f t="shared" si="32"/>
        <v>1.6344791849575124</v>
      </c>
      <c r="G153" s="60">
        <f t="shared" si="32"/>
        <v>1.9222314039431516</v>
      </c>
      <c r="H153" s="60">
        <f t="shared" si="32"/>
        <v>2.2588508612171236</v>
      </c>
      <c r="I153" s="60">
        <f t="shared" si="32"/>
        <v>2.6523352383556626</v>
      </c>
      <c r="J153" s="60">
        <f t="shared" si="32"/>
        <v>3.111942351841273</v>
      </c>
      <c r="K153" s="60">
        <f t="shared" si="32"/>
        <v>3.6483810967196217</v>
      </c>
      <c r="L153" s="60">
        <f t="shared" si="32"/>
        <v>4.27403018248165</v>
      </c>
      <c r="M153" s="60">
        <f t="shared" si="32"/>
        <v>5.003188542033787</v>
      </c>
      <c r="N153" s="60">
        <f t="shared" si="32"/>
        <v>5.852361813818036</v>
      </c>
      <c r="O153" s="60">
        <f t="shared" si="32"/>
        <v>6.840589882798459</v>
      </c>
      <c r="P153" s="60">
        <f t="shared" si="32"/>
        <v>7.989821126257853</v>
      </c>
      <c r="Q153" s="60">
        <f t="shared" si="32"/>
        <v>9.325339754227823</v>
      </c>
      <c r="R153" s="60">
        <f t="shared" si="32"/>
        <v>10.8762534720211</v>
      </c>
      <c r="S153" s="60">
        <f aca="true" t="shared" si="34" ref="S153:S168">FV(S$120,$C153,,-$B$121)</f>
        <v>12.67604963504849</v>
      </c>
      <c r="T153" s="60">
        <f t="shared" si="33"/>
        <v>14.763229126461157</v>
      </c>
      <c r="U153" s="60">
        <f t="shared" si="33"/>
        <v>17.1820283802006</v>
      </c>
      <c r="V153" s="60">
        <f t="shared" si="33"/>
        <v>19.98324131137238</v>
      </c>
      <c r="W153" s="60">
        <f t="shared" si="33"/>
        <v>23.22515441988786</v>
      </c>
      <c r="X153" s="60">
        <f t="shared" si="33"/>
        <v>26.974610021371316</v>
      </c>
      <c r="Y153" s="60">
        <f t="shared" si="33"/>
        <v>31.308214452939843</v>
      </c>
      <c r="Z153" s="60">
        <f t="shared" si="33"/>
        <v>36.313710224523184</v>
      </c>
      <c r="AA153" s="60">
        <f t="shared" si="33"/>
        <v>42.09153346548745</v>
      </c>
      <c r="AB153" s="61">
        <f t="shared" si="29"/>
        <v>33</v>
      </c>
    </row>
    <row r="154" spans="3:28" ht="12.75">
      <c r="C154" s="59">
        <v>34</v>
      </c>
      <c r="D154" s="60">
        <f aca="true" t="shared" si="35" ref="D154:S169">FV(D$120,$C154,,-$B$121)</f>
        <v>1.1848028759915974</v>
      </c>
      <c r="E154" s="60">
        <f t="shared" si="35"/>
        <v>1.4025769861695727</v>
      </c>
      <c r="F154" s="60">
        <f t="shared" si="35"/>
        <v>1.6589963727318748</v>
      </c>
      <c r="G154" s="60">
        <f t="shared" si="35"/>
        <v>1.9606760320220145</v>
      </c>
      <c r="H154" s="60">
        <f t="shared" si="35"/>
        <v>2.3153221327475517</v>
      </c>
      <c r="I154" s="60">
        <f t="shared" si="35"/>
        <v>2.731905295506332</v>
      </c>
      <c r="J154" s="60">
        <f t="shared" si="35"/>
        <v>3.2208603341557174</v>
      </c>
      <c r="K154" s="60">
        <f t="shared" si="35"/>
        <v>3.794316340588407</v>
      </c>
      <c r="L154" s="60">
        <f t="shared" si="35"/>
        <v>4.466361540693324</v>
      </c>
      <c r="M154" s="60">
        <f t="shared" si="35"/>
        <v>5.2533479691354765</v>
      </c>
      <c r="N154" s="60">
        <f t="shared" si="35"/>
        <v>6.174241713578028</v>
      </c>
      <c r="O154" s="60">
        <f t="shared" si="35"/>
        <v>7.251025275766367</v>
      </c>
      <c r="P154" s="60">
        <f t="shared" si="35"/>
        <v>8.509159499464612</v>
      </c>
      <c r="Q154" s="60">
        <f t="shared" si="35"/>
        <v>9.97811353702377</v>
      </c>
      <c r="R154" s="60">
        <f t="shared" si="35"/>
        <v>11.691972482422681</v>
      </c>
      <c r="S154" s="60">
        <f t="shared" si="34"/>
        <v>13.690133605852369</v>
      </c>
      <c r="T154" s="60">
        <f t="shared" si="33"/>
        <v>16.018103602210356</v>
      </c>
      <c r="U154" s="60">
        <f t="shared" si="33"/>
        <v>18.728410934418655</v>
      </c>
      <c r="V154" s="60">
        <f t="shared" si="33"/>
        <v>21.881649235952757</v>
      </c>
      <c r="W154" s="60">
        <f t="shared" si="33"/>
        <v>25.54766986187665</v>
      </c>
      <c r="X154" s="60">
        <f t="shared" si="33"/>
        <v>29.806944073615306</v>
      </c>
      <c r="Y154" s="60">
        <f t="shared" si="33"/>
        <v>34.75211804276323</v>
      </c>
      <c r="Z154" s="60">
        <f t="shared" si="33"/>
        <v>40.489786900343354</v>
      </c>
      <c r="AA154" s="60">
        <f t="shared" si="33"/>
        <v>47.14251748134595</v>
      </c>
      <c r="AB154" s="61">
        <f t="shared" si="29"/>
        <v>34</v>
      </c>
    </row>
    <row r="155" spans="3:28" ht="13.5" thickBot="1">
      <c r="C155" s="62">
        <v>35</v>
      </c>
      <c r="D155" s="63">
        <f t="shared" si="35"/>
        <v>1.1907268903715553</v>
      </c>
      <c r="E155" s="63">
        <f t="shared" si="35"/>
        <v>1.4166027560312682</v>
      </c>
      <c r="F155" s="63">
        <f t="shared" si="35"/>
        <v>1.683881318322853</v>
      </c>
      <c r="G155" s="63">
        <f t="shared" si="35"/>
        <v>1.9998895526624547</v>
      </c>
      <c r="H155" s="63">
        <f t="shared" si="35"/>
        <v>2.37320518606624</v>
      </c>
      <c r="I155" s="63">
        <f t="shared" si="35"/>
        <v>2.8138624543715225</v>
      </c>
      <c r="J155" s="63">
        <f t="shared" si="35"/>
        <v>3.333590445851167</v>
      </c>
      <c r="K155" s="63">
        <f t="shared" si="35"/>
        <v>3.9460889942119435</v>
      </c>
      <c r="L155" s="63">
        <f t="shared" si="35"/>
        <v>4.667347810024523</v>
      </c>
      <c r="M155" s="63">
        <f t="shared" si="35"/>
        <v>5.516015367592251</v>
      </c>
      <c r="N155" s="63">
        <f t="shared" si="35"/>
        <v>6.513825007824819</v>
      </c>
      <c r="O155" s="63">
        <f t="shared" si="35"/>
        <v>7.68608679231235</v>
      </c>
      <c r="P155" s="63">
        <f t="shared" si="35"/>
        <v>9.06225486692981</v>
      </c>
      <c r="Q155" s="63">
        <f t="shared" si="35"/>
        <v>10.676581484615435</v>
      </c>
      <c r="R155" s="63">
        <f t="shared" si="35"/>
        <v>12.568870418604382</v>
      </c>
      <c r="S155" s="63">
        <f t="shared" si="34"/>
        <v>14.78534429432056</v>
      </c>
      <c r="T155" s="63">
        <f t="shared" si="33"/>
        <v>17.379642408398237</v>
      </c>
      <c r="U155" s="63">
        <f t="shared" si="33"/>
        <v>20.413967918516335</v>
      </c>
      <c r="V155" s="63">
        <f t="shared" si="33"/>
        <v>23.96040591336827</v>
      </c>
      <c r="W155" s="63">
        <f t="shared" si="33"/>
        <v>28.10243684806432</v>
      </c>
      <c r="X155" s="63">
        <f t="shared" si="33"/>
        <v>32.93667320134491</v>
      </c>
      <c r="Y155" s="63">
        <f t="shared" si="33"/>
        <v>38.57485102746719</v>
      </c>
      <c r="Z155" s="63">
        <f t="shared" si="33"/>
        <v>45.14611239388284</v>
      </c>
      <c r="AA155" s="63">
        <f t="shared" si="33"/>
        <v>52.799619579107464</v>
      </c>
      <c r="AB155" s="64">
        <f t="shared" si="29"/>
        <v>35</v>
      </c>
    </row>
    <row r="156" spans="3:28" ht="13.5" thickTop="1">
      <c r="C156" s="59">
        <v>36</v>
      </c>
      <c r="D156" s="60">
        <f t="shared" si="35"/>
        <v>1.1966805248234127</v>
      </c>
      <c r="E156" s="60">
        <f t="shared" si="35"/>
        <v>1.430768783591581</v>
      </c>
      <c r="F156" s="60">
        <f t="shared" si="35"/>
        <v>1.7091395380976955</v>
      </c>
      <c r="G156" s="60">
        <f t="shared" si="35"/>
        <v>2.0398873437157037</v>
      </c>
      <c r="H156" s="60">
        <f t="shared" si="35"/>
        <v>2.4325353157178964</v>
      </c>
      <c r="I156" s="60">
        <f t="shared" si="35"/>
        <v>2.898278328002668</v>
      </c>
      <c r="J156" s="60">
        <f t="shared" si="35"/>
        <v>3.450266111455958</v>
      </c>
      <c r="K156" s="60">
        <f t="shared" si="35"/>
        <v>4.103932553980421</v>
      </c>
      <c r="L156" s="60">
        <f t="shared" si="35"/>
        <v>4.877378461475626</v>
      </c>
      <c r="M156" s="60">
        <f t="shared" si="35"/>
        <v>5.791816135971863</v>
      </c>
      <c r="N156" s="60">
        <f t="shared" si="35"/>
        <v>6.872085383255184</v>
      </c>
      <c r="O156" s="60">
        <f t="shared" si="35"/>
        <v>8.147251999851091</v>
      </c>
      <c r="P156" s="60">
        <f t="shared" si="35"/>
        <v>9.65130143328025</v>
      </c>
      <c r="Q156" s="60">
        <f t="shared" si="35"/>
        <v>11.423942188538515</v>
      </c>
      <c r="R156" s="60">
        <f t="shared" si="35"/>
        <v>13.511535699999712</v>
      </c>
      <c r="S156" s="60">
        <f t="shared" si="34"/>
        <v>15.968171837866207</v>
      </c>
      <c r="T156" s="60">
        <f t="shared" si="33"/>
        <v>18.856912013112083</v>
      </c>
      <c r="U156" s="60">
        <f t="shared" si="33"/>
        <v>22.251225031182805</v>
      </c>
      <c r="V156" s="60">
        <f t="shared" si="33"/>
        <v>26.236644475138256</v>
      </c>
      <c r="W156" s="60">
        <f t="shared" si="33"/>
        <v>30.91268053287075</v>
      </c>
      <c r="X156" s="60">
        <f t="shared" si="33"/>
        <v>36.39502388748613</v>
      </c>
      <c r="Y156" s="60">
        <f t="shared" si="33"/>
        <v>42.81808464048858</v>
      </c>
      <c r="Z156" s="60">
        <f t="shared" si="33"/>
        <v>50.337915319179366</v>
      </c>
      <c r="AA156" s="60">
        <f t="shared" si="33"/>
        <v>59.13557392860036</v>
      </c>
      <c r="AB156" s="61">
        <f t="shared" si="29"/>
        <v>36</v>
      </c>
    </row>
    <row r="157" spans="3:28" ht="12.75">
      <c r="C157" s="59">
        <v>37</v>
      </c>
      <c r="D157" s="60">
        <f t="shared" si="35"/>
        <v>1.2026639274475295</v>
      </c>
      <c r="E157" s="60">
        <f t="shared" si="35"/>
        <v>1.4450764714274968</v>
      </c>
      <c r="F157" s="60">
        <f t="shared" si="35"/>
        <v>1.7347766311691606</v>
      </c>
      <c r="G157" s="60">
        <f t="shared" si="35"/>
        <v>2.080685090590018</v>
      </c>
      <c r="H157" s="60">
        <f t="shared" si="35"/>
        <v>2.4933486986108435</v>
      </c>
      <c r="I157" s="60">
        <f t="shared" si="35"/>
        <v>2.9852266778427476</v>
      </c>
      <c r="J157" s="60">
        <f t="shared" si="35"/>
        <v>3.571025425356916</v>
      </c>
      <c r="K157" s="60">
        <f t="shared" si="35"/>
        <v>4.268089856139639</v>
      </c>
      <c r="L157" s="60">
        <f t="shared" si="35"/>
        <v>5.096860492242029</v>
      </c>
      <c r="M157" s="60">
        <f t="shared" si="35"/>
        <v>6.081406942770457</v>
      </c>
      <c r="N157" s="60">
        <f t="shared" si="35"/>
        <v>7.250050079334219</v>
      </c>
      <c r="O157" s="60">
        <f t="shared" si="35"/>
        <v>8.636087119842157</v>
      </c>
      <c r="P157" s="60">
        <f t="shared" si="35"/>
        <v>10.278636026443465</v>
      </c>
      <c r="Q157" s="60">
        <f t="shared" si="35"/>
        <v>12.223618141736212</v>
      </c>
      <c r="R157" s="60">
        <f t="shared" si="35"/>
        <v>14.52490087749969</v>
      </c>
      <c r="S157" s="60">
        <f t="shared" si="34"/>
        <v>17.245625584895503</v>
      </c>
      <c r="T157" s="60">
        <f t="shared" si="33"/>
        <v>20.45974953422661</v>
      </c>
      <c r="U157" s="60">
        <f t="shared" si="33"/>
        <v>24.253835283989257</v>
      </c>
      <c r="V157" s="60">
        <f t="shared" si="33"/>
        <v>28.72912570027639</v>
      </c>
      <c r="W157" s="60">
        <f t="shared" si="33"/>
        <v>34.003948586157826</v>
      </c>
      <c r="X157" s="60">
        <f t="shared" si="33"/>
        <v>40.216501395672175</v>
      </c>
      <c r="Y157" s="60">
        <f t="shared" si="33"/>
        <v>47.52807395094233</v>
      </c>
      <c r="Z157" s="60">
        <f t="shared" si="33"/>
        <v>56.126775580884996</v>
      </c>
      <c r="AA157" s="60">
        <f t="shared" si="33"/>
        <v>66.23184280003241</v>
      </c>
      <c r="AB157" s="61">
        <f t="shared" si="29"/>
        <v>37</v>
      </c>
    </row>
    <row r="158" spans="3:28" ht="12.75">
      <c r="C158" s="59">
        <v>38</v>
      </c>
      <c r="D158" s="60">
        <f t="shared" si="35"/>
        <v>1.208677247084767</v>
      </c>
      <c r="E158" s="60">
        <f t="shared" si="35"/>
        <v>1.459527236141772</v>
      </c>
      <c r="F158" s="60">
        <f t="shared" si="35"/>
        <v>1.7607982806366977</v>
      </c>
      <c r="G158" s="60">
        <f t="shared" si="35"/>
        <v>2.1222987924018186</v>
      </c>
      <c r="H158" s="60">
        <f t="shared" si="35"/>
        <v>2.555682416076114</v>
      </c>
      <c r="I158" s="60">
        <f t="shared" si="35"/>
        <v>3.07478347817803</v>
      </c>
      <c r="J158" s="60">
        <f t="shared" si="35"/>
        <v>3.6960113152444083</v>
      </c>
      <c r="K158" s="60">
        <f t="shared" si="35"/>
        <v>4.438813450385224</v>
      </c>
      <c r="L158" s="60">
        <f t="shared" si="35"/>
        <v>5.3262192143929195</v>
      </c>
      <c r="M158" s="60">
        <f t="shared" si="35"/>
        <v>6.3854772899089784</v>
      </c>
      <c r="N158" s="60">
        <f t="shared" si="35"/>
        <v>7.648802833697601</v>
      </c>
      <c r="O158" s="60">
        <f t="shared" si="35"/>
        <v>9.154252347032688</v>
      </c>
      <c r="P158" s="60">
        <f t="shared" si="35"/>
        <v>10.946747368162288</v>
      </c>
      <c r="Q158" s="60">
        <f t="shared" si="35"/>
        <v>13.079271411657746</v>
      </c>
      <c r="R158" s="60">
        <f t="shared" si="35"/>
        <v>15.614268443312165</v>
      </c>
      <c r="S158" s="60">
        <f t="shared" si="34"/>
        <v>18.625275631687146</v>
      </c>
      <c r="T158" s="60">
        <f t="shared" si="33"/>
        <v>22.198828244635873</v>
      </c>
      <c r="U158" s="60">
        <f t="shared" si="33"/>
        <v>26.436680459548295</v>
      </c>
      <c r="V158" s="60">
        <f t="shared" si="33"/>
        <v>31.45839264180265</v>
      </c>
      <c r="W158" s="60">
        <f t="shared" si="33"/>
        <v>37.404343444773616</v>
      </c>
      <c r="X158" s="60">
        <f t="shared" si="33"/>
        <v>44.439234042217755</v>
      </c>
      <c r="Y158" s="60">
        <f t="shared" si="33"/>
        <v>52.75616208554599</v>
      </c>
      <c r="Z158" s="60">
        <f t="shared" si="33"/>
        <v>62.58135477268677</v>
      </c>
      <c r="AA158" s="60">
        <f t="shared" si="33"/>
        <v>74.1796639360363</v>
      </c>
      <c r="AB158" s="61">
        <f t="shared" si="29"/>
        <v>38</v>
      </c>
    </row>
    <row r="159" spans="3:28" ht="12.75">
      <c r="C159" s="59">
        <v>39</v>
      </c>
      <c r="D159" s="60">
        <f t="shared" si="35"/>
        <v>1.2147206333201908</v>
      </c>
      <c r="E159" s="60">
        <f t="shared" si="35"/>
        <v>1.4741225085031893</v>
      </c>
      <c r="F159" s="60">
        <f t="shared" si="35"/>
        <v>1.7872102548462478</v>
      </c>
      <c r="G159" s="60">
        <f t="shared" si="35"/>
        <v>2.164744768249854</v>
      </c>
      <c r="H159" s="60">
        <f t="shared" si="35"/>
        <v>2.619574476478017</v>
      </c>
      <c r="I159" s="60">
        <f t="shared" si="35"/>
        <v>3.1670269825233714</v>
      </c>
      <c r="J159" s="60">
        <f t="shared" si="35"/>
        <v>3.825371711277962</v>
      </c>
      <c r="K159" s="60">
        <f t="shared" si="35"/>
        <v>4.6163659884006325</v>
      </c>
      <c r="L159" s="60">
        <f t="shared" si="35"/>
        <v>5.565899079040601</v>
      </c>
      <c r="M159" s="60">
        <f t="shared" si="35"/>
        <v>6.704751154404429</v>
      </c>
      <c r="N159" s="60">
        <f t="shared" si="35"/>
        <v>8.069486989550969</v>
      </c>
      <c r="O159" s="60">
        <f t="shared" si="35"/>
        <v>9.703507487854651</v>
      </c>
      <c r="P159" s="60">
        <f t="shared" si="35"/>
        <v>11.658285947092835</v>
      </c>
      <c r="Q159" s="60">
        <f t="shared" si="35"/>
        <v>13.994820410473789</v>
      </c>
      <c r="R159" s="60">
        <f t="shared" si="35"/>
        <v>16.785338576560576</v>
      </c>
      <c r="S159" s="60">
        <f t="shared" si="34"/>
        <v>20.115297682222117</v>
      </c>
      <c r="T159" s="60">
        <f t="shared" si="33"/>
        <v>24.085728645429924</v>
      </c>
      <c r="U159" s="60">
        <f t="shared" si="33"/>
        <v>28.81598170090764</v>
      </c>
      <c r="V159" s="60">
        <f t="shared" si="33"/>
        <v>34.446939942773895</v>
      </c>
      <c r="W159" s="60">
        <f t="shared" si="33"/>
        <v>41.14477778925098</v>
      </c>
      <c r="X159" s="60">
        <f t="shared" si="33"/>
        <v>49.10535361665062</v>
      </c>
      <c r="Y159" s="60">
        <f t="shared" si="33"/>
        <v>58.55933991495605</v>
      </c>
      <c r="Z159" s="60">
        <f t="shared" si="33"/>
        <v>69.77821057154576</v>
      </c>
      <c r="AA159" s="60">
        <f t="shared" si="33"/>
        <v>83.08122360836066</v>
      </c>
      <c r="AB159" s="61">
        <f t="shared" si="29"/>
        <v>39</v>
      </c>
    </row>
    <row r="160" spans="3:28" ht="13.5" thickBot="1">
      <c r="C160" s="62">
        <v>40</v>
      </c>
      <c r="D160" s="63">
        <f t="shared" si="35"/>
        <v>1.2207942364867916</v>
      </c>
      <c r="E160" s="63">
        <f t="shared" si="35"/>
        <v>1.4888637335882215</v>
      </c>
      <c r="F160" s="63">
        <f t="shared" si="35"/>
        <v>1.8140184086689415</v>
      </c>
      <c r="G160" s="63">
        <f t="shared" si="35"/>
        <v>2.208039663614852</v>
      </c>
      <c r="H160" s="63">
        <f t="shared" si="35"/>
        <v>2.685063838389967</v>
      </c>
      <c r="I160" s="63">
        <f t="shared" si="35"/>
        <v>3.262037791999072</v>
      </c>
      <c r="J160" s="63">
        <f t="shared" si="35"/>
        <v>3.95925972117269</v>
      </c>
      <c r="K160" s="63">
        <f t="shared" si="35"/>
        <v>4.801020627936659</v>
      </c>
      <c r="L160" s="63">
        <f t="shared" si="35"/>
        <v>5.816364537597426</v>
      </c>
      <c r="M160" s="63">
        <f t="shared" si="35"/>
        <v>7.039988712124649</v>
      </c>
      <c r="N160" s="63">
        <f t="shared" si="35"/>
        <v>8.513308773976272</v>
      </c>
      <c r="O160" s="63">
        <f t="shared" si="35"/>
        <v>10.285717937125929</v>
      </c>
      <c r="P160" s="63">
        <f t="shared" si="35"/>
        <v>12.41607453365387</v>
      </c>
      <c r="Q160" s="63">
        <f t="shared" si="35"/>
        <v>14.974457839206954</v>
      </c>
      <c r="R160" s="63">
        <f t="shared" si="35"/>
        <v>18.04423896980262</v>
      </c>
      <c r="S160" s="63">
        <f t="shared" si="34"/>
        <v>21.724521496799888</v>
      </c>
      <c r="T160" s="63">
        <f t="shared" si="33"/>
        <v>26.133015580291463</v>
      </c>
      <c r="U160" s="63">
        <f t="shared" si="33"/>
        <v>31.40942005398933</v>
      </c>
      <c r="V160" s="63">
        <f t="shared" si="33"/>
        <v>37.71939923733742</v>
      </c>
      <c r="W160" s="63">
        <f t="shared" si="33"/>
        <v>45.25925556817607</v>
      </c>
      <c r="X160" s="63">
        <f t="shared" si="33"/>
        <v>54.26141574639893</v>
      </c>
      <c r="Y160" s="63">
        <f t="shared" si="33"/>
        <v>65.00086730560122</v>
      </c>
      <c r="Z160" s="63">
        <f t="shared" si="33"/>
        <v>77.80270478727353</v>
      </c>
      <c r="AA160" s="63">
        <f t="shared" si="33"/>
        <v>93.05097044136396</v>
      </c>
      <c r="AB160" s="64">
        <f t="shared" si="29"/>
        <v>40</v>
      </c>
    </row>
    <row r="161" spans="3:28" ht="13.5" thickTop="1">
      <c r="C161" s="59">
        <v>41</v>
      </c>
      <c r="D161" s="60">
        <f t="shared" si="35"/>
        <v>1.2268982076692254</v>
      </c>
      <c r="E161" s="60">
        <f t="shared" si="35"/>
        <v>1.5037523709241039</v>
      </c>
      <c r="F161" s="60">
        <f t="shared" si="35"/>
        <v>1.8412286847989754</v>
      </c>
      <c r="G161" s="60">
        <f t="shared" si="35"/>
        <v>2.2522004568871488</v>
      </c>
      <c r="H161" s="60">
        <f t="shared" si="35"/>
        <v>2.7521904343497163</v>
      </c>
      <c r="I161" s="60">
        <f t="shared" si="35"/>
        <v>3.3598989257590444</v>
      </c>
      <c r="J161" s="60">
        <f t="shared" si="35"/>
        <v>4.097833811413733</v>
      </c>
      <c r="K161" s="60">
        <f t="shared" si="35"/>
        <v>4.993061453054126</v>
      </c>
      <c r="L161" s="60">
        <f t="shared" si="35"/>
        <v>6.07810094178931</v>
      </c>
      <c r="M161" s="60">
        <f t="shared" si="35"/>
        <v>7.391988147730882</v>
      </c>
      <c r="N161" s="60">
        <f t="shared" si="35"/>
        <v>8.981540756544966</v>
      </c>
      <c r="O161" s="60">
        <f t="shared" si="35"/>
        <v>10.902861013353483</v>
      </c>
      <c r="P161" s="60">
        <f t="shared" si="35"/>
        <v>13.223119378341371</v>
      </c>
      <c r="Q161" s="60">
        <f t="shared" si="35"/>
        <v>16.02266988795144</v>
      </c>
      <c r="R161" s="60">
        <f t="shared" si="35"/>
        <v>19.397556892537818</v>
      </c>
      <c r="S161" s="60">
        <f t="shared" si="34"/>
        <v>23.46248321654388</v>
      </c>
      <c r="T161" s="60">
        <f t="shared" si="33"/>
        <v>28.354321904616235</v>
      </c>
      <c r="U161" s="60">
        <f t="shared" si="33"/>
        <v>34.23626785884837</v>
      </c>
      <c r="V161" s="60">
        <f t="shared" si="33"/>
        <v>41.30274216488447</v>
      </c>
      <c r="W161" s="60">
        <f t="shared" si="33"/>
        <v>49.785181124993684</v>
      </c>
      <c r="X161" s="60">
        <f t="shared" si="33"/>
        <v>59.95886439977082</v>
      </c>
      <c r="Y161" s="60">
        <f t="shared" si="33"/>
        <v>72.15096270921737</v>
      </c>
      <c r="Z161" s="60">
        <f t="shared" si="33"/>
        <v>86.75001583780997</v>
      </c>
      <c r="AA161" s="60">
        <f t="shared" si="33"/>
        <v>104.21708689432762</v>
      </c>
      <c r="AB161" s="61">
        <f t="shared" si="29"/>
        <v>41</v>
      </c>
    </row>
    <row r="162" spans="3:28" ht="12.75">
      <c r="C162" s="59">
        <v>42</v>
      </c>
      <c r="D162" s="60">
        <f t="shared" si="35"/>
        <v>1.2330326987075713</v>
      </c>
      <c r="E162" s="60">
        <f t="shared" si="35"/>
        <v>1.5187898946333451</v>
      </c>
      <c r="F162" s="60">
        <f t="shared" si="35"/>
        <v>1.8688471150709598</v>
      </c>
      <c r="G162" s="60">
        <f t="shared" si="35"/>
        <v>2.2972444660248916</v>
      </c>
      <c r="H162" s="60">
        <f t="shared" si="35"/>
        <v>2.820995195208459</v>
      </c>
      <c r="I162" s="60">
        <f t="shared" si="35"/>
        <v>3.460695893531816</v>
      </c>
      <c r="J162" s="60">
        <f t="shared" si="35"/>
        <v>4.241257994813214</v>
      </c>
      <c r="K162" s="60">
        <f t="shared" si="35"/>
        <v>5.19278391117629</v>
      </c>
      <c r="L162" s="60">
        <f t="shared" si="35"/>
        <v>6.351615484169828</v>
      </c>
      <c r="M162" s="60">
        <f t="shared" si="35"/>
        <v>7.761587555117426</v>
      </c>
      <c r="N162" s="60">
        <f t="shared" si="35"/>
        <v>9.475525498154939</v>
      </c>
      <c r="O162" s="60">
        <f t="shared" si="35"/>
        <v>11.557032674154694</v>
      </c>
      <c r="P162" s="60">
        <f t="shared" si="35"/>
        <v>14.082622137933559</v>
      </c>
      <c r="Q162" s="60">
        <f t="shared" si="35"/>
        <v>17.14425678010804</v>
      </c>
      <c r="R162" s="60">
        <f t="shared" si="35"/>
        <v>20.85237365947815</v>
      </c>
      <c r="S162" s="60">
        <f t="shared" si="34"/>
        <v>25.33948187386739</v>
      </c>
      <c r="T162" s="60">
        <f t="shared" si="33"/>
        <v>30.764439266508617</v>
      </c>
      <c r="U162" s="60">
        <f t="shared" si="33"/>
        <v>37.31753196614473</v>
      </c>
      <c r="V162" s="60">
        <f t="shared" si="33"/>
        <v>45.226502670548506</v>
      </c>
      <c r="W162" s="60">
        <f t="shared" si="33"/>
        <v>54.76369923749306</v>
      </c>
      <c r="X162" s="60">
        <f t="shared" si="33"/>
        <v>66.25454516174676</v>
      </c>
      <c r="Y162" s="60">
        <f t="shared" si="33"/>
        <v>80.08756860723129</v>
      </c>
      <c r="Z162" s="60">
        <f t="shared" si="33"/>
        <v>96.72626765915813</v>
      </c>
      <c r="AA162" s="60">
        <f t="shared" si="33"/>
        <v>116.72313732164696</v>
      </c>
      <c r="AB162" s="61">
        <f t="shared" si="29"/>
        <v>42</v>
      </c>
    </row>
    <row r="163" spans="3:28" ht="12.75">
      <c r="C163" s="59">
        <v>43</v>
      </c>
      <c r="D163" s="60">
        <f t="shared" si="35"/>
        <v>1.239197862201109</v>
      </c>
      <c r="E163" s="60">
        <f t="shared" si="35"/>
        <v>1.5339777935796781</v>
      </c>
      <c r="F163" s="60">
        <f t="shared" si="35"/>
        <v>1.896879821797024</v>
      </c>
      <c r="G163" s="60">
        <f t="shared" si="35"/>
        <v>2.3431893553453893</v>
      </c>
      <c r="H163" s="60">
        <f t="shared" si="35"/>
        <v>2.8915200750886707</v>
      </c>
      <c r="I163" s="60">
        <f t="shared" si="35"/>
        <v>3.5645167703377703</v>
      </c>
      <c r="J163" s="60">
        <f t="shared" si="35"/>
        <v>4.389702024631677</v>
      </c>
      <c r="K163" s="60">
        <f t="shared" si="35"/>
        <v>5.400495267623342</v>
      </c>
      <c r="L163" s="60">
        <f t="shared" si="35"/>
        <v>6.63743818095747</v>
      </c>
      <c r="M163" s="60">
        <f t="shared" si="35"/>
        <v>8.149666932873298</v>
      </c>
      <c r="N163" s="60">
        <f t="shared" si="35"/>
        <v>9.99667940055346</v>
      </c>
      <c r="O163" s="60">
        <f t="shared" si="35"/>
        <v>12.250454634603978</v>
      </c>
      <c r="P163" s="60">
        <f t="shared" si="35"/>
        <v>14.997992576899238</v>
      </c>
      <c r="Q163" s="60">
        <f t="shared" si="35"/>
        <v>18.344354754715607</v>
      </c>
      <c r="R163" s="60">
        <f t="shared" si="35"/>
        <v>22.416301683939015</v>
      </c>
      <c r="S163" s="60">
        <f t="shared" si="34"/>
        <v>27.36664042377678</v>
      </c>
      <c r="T163" s="60">
        <f t="shared" si="33"/>
        <v>33.379416604161854</v>
      </c>
      <c r="U163" s="60">
        <f t="shared" si="33"/>
        <v>40.676109843097755</v>
      </c>
      <c r="V163" s="60">
        <f t="shared" si="33"/>
        <v>49.52302042425061</v>
      </c>
      <c r="W163" s="60">
        <f t="shared" si="33"/>
        <v>60.240069161242374</v>
      </c>
      <c r="X163" s="60">
        <f t="shared" si="33"/>
        <v>73.21127240373016</v>
      </c>
      <c r="Y163" s="60">
        <f t="shared" si="33"/>
        <v>88.89720115402673</v>
      </c>
      <c r="Z163" s="60">
        <f t="shared" si="33"/>
        <v>107.84978843996132</v>
      </c>
      <c r="AA163" s="60">
        <f t="shared" si="33"/>
        <v>130.72991380024462</v>
      </c>
      <c r="AB163" s="61">
        <f t="shared" si="29"/>
        <v>43</v>
      </c>
    </row>
    <row r="164" spans="3:28" ht="12.75">
      <c r="C164" s="59">
        <v>44</v>
      </c>
      <c r="D164" s="60">
        <f t="shared" si="35"/>
        <v>1.2453938515121143</v>
      </c>
      <c r="E164" s="60">
        <f t="shared" si="35"/>
        <v>1.549317571515475</v>
      </c>
      <c r="F164" s="60">
        <f t="shared" si="35"/>
        <v>1.9253330191239788</v>
      </c>
      <c r="G164" s="60">
        <f t="shared" si="35"/>
        <v>2.3900531424522975</v>
      </c>
      <c r="H164" s="60">
        <f t="shared" si="35"/>
        <v>2.9638080769658868</v>
      </c>
      <c r="I164" s="60">
        <f t="shared" si="35"/>
        <v>3.671452273447903</v>
      </c>
      <c r="J164" s="60">
        <f t="shared" si="35"/>
        <v>4.543341595493785</v>
      </c>
      <c r="K164" s="60">
        <f t="shared" si="35"/>
        <v>5.616515078328277</v>
      </c>
      <c r="L164" s="60">
        <f t="shared" si="35"/>
        <v>6.936122899100555</v>
      </c>
      <c r="M164" s="60">
        <f t="shared" si="35"/>
        <v>8.557150279516962</v>
      </c>
      <c r="N164" s="60">
        <f t="shared" si="35"/>
        <v>10.5464967675839</v>
      </c>
      <c r="O164" s="60">
        <f t="shared" si="35"/>
        <v>12.985481912680218</v>
      </c>
      <c r="P164" s="60">
        <f t="shared" si="35"/>
        <v>15.972862094397685</v>
      </c>
      <c r="Q164" s="60">
        <f t="shared" si="35"/>
        <v>19.628459587545695</v>
      </c>
      <c r="R164" s="60">
        <f t="shared" si="35"/>
        <v>24.097524310234437</v>
      </c>
      <c r="S164" s="60">
        <f t="shared" si="34"/>
        <v>29.555971657678928</v>
      </c>
      <c r="T164" s="60">
        <f t="shared" si="33"/>
        <v>36.2166670155156</v>
      </c>
      <c r="U164" s="60">
        <f t="shared" si="33"/>
        <v>44.33695972897655</v>
      </c>
      <c r="V164" s="60">
        <f t="shared" si="33"/>
        <v>54.22770736455442</v>
      </c>
      <c r="W164" s="60">
        <f t="shared" si="33"/>
        <v>66.26407607736661</v>
      </c>
      <c r="X164" s="60">
        <f t="shared" si="33"/>
        <v>80.89845600612183</v>
      </c>
      <c r="Y164" s="60">
        <f t="shared" si="33"/>
        <v>98.67589328096967</v>
      </c>
      <c r="Z164" s="60">
        <f t="shared" si="33"/>
        <v>120.25251411055687</v>
      </c>
      <c r="AA164" s="60">
        <f t="shared" si="33"/>
        <v>146.41750345627395</v>
      </c>
      <c r="AB164" s="61">
        <f t="shared" si="29"/>
        <v>44</v>
      </c>
    </row>
    <row r="165" spans="3:28" ht="13.5" thickBot="1">
      <c r="C165" s="62">
        <v>45</v>
      </c>
      <c r="D165" s="63">
        <f t="shared" si="35"/>
        <v>1.2516208207696746</v>
      </c>
      <c r="E165" s="63">
        <f t="shared" si="35"/>
        <v>1.5648107472306299</v>
      </c>
      <c r="F165" s="63">
        <f t="shared" si="35"/>
        <v>1.9542130144108385</v>
      </c>
      <c r="G165" s="63">
        <f t="shared" si="35"/>
        <v>2.4378542053013432</v>
      </c>
      <c r="H165" s="63">
        <f t="shared" si="35"/>
        <v>3.037903278890034</v>
      </c>
      <c r="I165" s="63">
        <f t="shared" si="35"/>
        <v>3.78159584165134</v>
      </c>
      <c r="J165" s="63">
        <f t="shared" si="35"/>
        <v>4.702358551336067</v>
      </c>
      <c r="K165" s="63">
        <f t="shared" si="35"/>
        <v>5.841175681461408</v>
      </c>
      <c r="L165" s="63">
        <f t="shared" si="35"/>
        <v>7.24824842956008</v>
      </c>
      <c r="M165" s="63">
        <f t="shared" si="35"/>
        <v>8.985007793492812</v>
      </c>
      <c r="N165" s="63">
        <f t="shared" si="35"/>
        <v>11.126554089801013</v>
      </c>
      <c r="O165" s="63">
        <f t="shared" si="35"/>
        <v>13.76461082744103</v>
      </c>
      <c r="P165" s="63">
        <f t="shared" si="35"/>
        <v>17.011098130533536</v>
      </c>
      <c r="Q165" s="63">
        <f t="shared" si="35"/>
        <v>21.002451758673896</v>
      </c>
      <c r="R165" s="63">
        <f t="shared" si="35"/>
        <v>25.904838633502024</v>
      </c>
      <c r="S165" s="63">
        <f t="shared" si="34"/>
        <v>31.92044939029324</v>
      </c>
      <c r="T165" s="63">
        <f t="shared" si="33"/>
        <v>39.29508371183443</v>
      </c>
      <c r="U165" s="63">
        <f t="shared" si="33"/>
        <v>48.32728610458445</v>
      </c>
      <c r="V165" s="63">
        <f t="shared" si="33"/>
        <v>59.379339564187084</v>
      </c>
      <c r="W165" s="63">
        <f t="shared" si="33"/>
        <v>72.89048368510328</v>
      </c>
      <c r="X165" s="63">
        <f t="shared" si="33"/>
        <v>89.39279388676464</v>
      </c>
      <c r="Y165" s="63">
        <f t="shared" si="33"/>
        <v>109.53024154187635</v>
      </c>
      <c r="Z165" s="63">
        <f t="shared" si="33"/>
        <v>134.0815532332709</v>
      </c>
      <c r="AA165" s="63">
        <f t="shared" si="33"/>
        <v>163.98760387102686</v>
      </c>
      <c r="AB165" s="64">
        <f t="shared" si="29"/>
        <v>45</v>
      </c>
    </row>
    <row r="166" spans="3:28" ht="13.5" thickTop="1">
      <c r="C166" s="59">
        <v>46</v>
      </c>
      <c r="D166" s="60">
        <f t="shared" si="35"/>
        <v>1.257878924873523</v>
      </c>
      <c r="E166" s="60">
        <f t="shared" si="35"/>
        <v>1.5804588547029363</v>
      </c>
      <c r="F166" s="60">
        <f t="shared" si="35"/>
        <v>1.9835262096270005</v>
      </c>
      <c r="G166" s="60">
        <f t="shared" si="35"/>
        <v>2.4866112894073704</v>
      </c>
      <c r="H166" s="60">
        <f t="shared" si="35"/>
        <v>3.1138508608622844</v>
      </c>
      <c r="I166" s="60">
        <f t="shared" si="35"/>
        <v>3.8950437169008802</v>
      </c>
      <c r="J166" s="60">
        <f t="shared" si="35"/>
        <v>4.86694110063283</v>
      </c>
      <c r="K166" s="60">
        <f t="shared" si="35"/>
        <v>6.074822708719864</v>
      </c>
      <c r="L166" s="60">
        <f t="shared" si="35"/>
        <v>7.574419608890282</v>
      </c>
      <c r="M166" s="60">
        <f t="shared" si="35"/>
        <v>9.43425818316745</v>
      </c>
      <c r="N166" s="60">
        <f t="shared" si="35"/>
        <v>11.73851456474007</v>
      </c>
      <c r="O166" s="60">
        <f t="shared" si="35"/>
        <v>14.590487477087493</v>
      </c>
      <c r="P166" s="60">
        <f t="shared" si="35"/>
        <v>18.116819509018214</v>
      </c>
      <c r="Q166" s="60">
        <f t="shared" si="35"/>
        <v>22.47262338178107</v>
      </c>
      <c r="R166" s="60">
        <f t="shared" si="35"/>
        <v>27.84770153101467</v>
      </c>
      <c r="S166" s="60">
        <f t="shared" si="34"/>
        <v>34.474085341516705</v>
      </c>
      <c r="T166" s="60">
        <f t="shared" si="33"/>
        <v>42.63516582734035</v>
      </c>
      <c r="U166" s="60">
        <f t="shared" si="33"/>
        <v>52.67674185399705</v>
      </c>
      <c r="V166" s="60">
        <f t="shared" si="33"/>
        <v>65.02037682278485</v>
      </c>
      <c r="W166" s="60">
        <f t="shared" si="33"/>
        <v>80.17953205361361</v>
      </c>
      <c r="X166" s="60">
        <f t="shared" si="33"/>
        <v>98.77903724487491</v>
      </c>
      <c r="Y166" s="60">
        <f t="shared" si="33"/>
        <v>121.57856811148275</v>
      </c>
      <c r="Z166" s="60">
        <f t="shared" si="33"/>
        <v>149.50093185509706</v>
      </c>
      <c r="AA166" s="60">
        <f t="shared" si="33"/>
        <v>183.6661163355501</v>
      </c>
      <c r="AB166" s="61">
        <f t="shared" si="29"/>
        <v>46</v>
      </c>
    </row>
    <row r="167" spans="3:28" ht="12.75">
      <c r="C167" s="59">
        <v>47</v>
      </c>
      <c r="D167" s="60">
        <f t="shared" si="35"/>
        <v>1.26416831949789</v>
      </c>
      <c r="E167" s="60">
        <f t="shared" si="35"/>
        <v>1.5962634432499652</v>
      </c>
      <c r="F167" s="60">
        <f t="shared" si="35"/>
        <v>2.0132791027714054</v>
      </c>
      <c r="G167" s="60">
        <f t="shared" si="35"/>
        <v>2.536343515195517</v>
      </c>
      <c r="H167" s="60">
        <f t="shared" si="35"/>
        <v>3.191697132383842</v>
      </c>
      <c r="I167" s="60">
        <f t="shared" si="35"/>
        <v>4.011895028407907</v>
      </c>
      <c r="J167" s="60">
        <f t="shared" si="35"/>
        <v>5.037284039154978</v>
      </c>
      <c r="K167" s="60">
        <f t="shared" si="35"/>
        <v>6.317815617068659</v>
      </c>
      <c r="L167" s="60">
        <f t="shared" si="35"/>
        <v>7.9152684912903455</v>
      </c>
      <c r="M167" s="60">
        <f t="shared" si="35"/>
        <v>9.905971092325826</v>
      </c>
      <c r="N167" s="60">
        <f t="shared" si="35"/>
        <v>12.384132865800773</v>
      </c>
      <c r="O167" s="60">
        <f t="shared" si="35"/>
        <v>15.465916725712747</v>
      </c>
      <c r="P167" s="60">
        <f t="shared" si="35"/>
        <v>19.294412777104395</v>
      </c>
      <c r="Q167" s="60">
        <f t="shared" si="35"/>
        <v>24.045707018505745</v>
      </c>
      <c r="R167" s="60">
        <f t="shared" si="35"/>
        <v>29.93627914584077</v>
      </c>
      <c r="S167" s="60">
        <f t="shared" si="34"/>
        <v>37.23201216883805</v>
      </c>
      <c r="T167" s="60">
        <f t="shared" si="33"/>
        <v>46.25915492266429</v>
      </c>
      <c r="U167" s="60">
        <f t="shared" si="33"/>
        <v>57.41764862085679</v>
      </c>
      <c r="V167" s="60">
        <f t="shared" si="33"/>
        <v>71.19731262094942</v>
      </c>
      <c r="W167" s="60">
        <f t="shared" si="33"/>
        <v>88.19748525897498</v>
      </c>
      <c r="X167" s="60">
        <f t="shared" si="33"/>
        <v>109.1508361555868</v>
      </c>
      <c r="Y167" s="60">
        <f t="shared" si="33"/>
        <v>134.95221060374584</v>
      </c>
      <c r="Z167" s="60">
        <f t="shared" si="33"/>
        <v>166.69353901843323</v>
      </c>
      <c r="AA167" s="60">
        <f t="shared" si="33"/>
        <v>205.70605029581608</v>
      </c>
      <c r="AB167" s="61">
        <f t="shared" si="29"/>
        <v>47</v>
      </c>
    </row>
    <row r="168" spans="3:28" ht="12.75">
      <c r="C168" s="59">
        <v>48</v>
      </c>
      <c r="D168" s="60">
        <f t="shared" si="35"/>
        <v>1.2704891610953795</v>
      </c>
      <c r="E168" s="60">
        <f t="shared" si="35"/>
        <v>1.6122260776824653</v>
      </c>
      <c r="F168" s="60">
        <f t="shared" si="35"/>
        <v>2.043478289312976</v>
      </c>
      <c r="G168" s="60">
        <f t="shared" si="35"/>
        <v>2.5870703854994277</v>
      </c>
      <c r="H168" s="60">
        <f t="shared" si="35"/>
        <v>3.2714895606934378</v>
      </c>
      <c r="I168" s="60">
        <f t="shared" si="35"/>
        <v>4.132251879260144</v>
      </c>
      <c r="J168" s="60">
        <f t="shared" si="35"/>
        <v>5.213588980525401</v>
      </c>
      <c r="K168" s="60">
        <f t="shared" si="35"/>
        <v>6.570528241751406</v>
      </c>
      <c r="L168" s="60">
        <f t="shared" si="35"/>
        <v>8.271455573398407</v>
      </c>
      <c r="M168" s="60">
        <f t="shared" si="35"/>
        <v>10.401269646942117</v>
      </c>
      <c r="N168" s="60">
        <f t="shared" si="35"/>
        <v>13.065260173419814</v>
      </c>
      <c r="O168" s="60">
        <f t="shared" si="35"/>
        <v>16.39387172925551</v>
      </c>
      <c r="P168" s="60">
        <f t="shared" si="35"/>
        <v>20.54854960761618</v>
      </c>
      <c r="Q168" s="60">
        <f t="shared" si="35"/>
        <v>25.728906509801146</v>
      </c>
      <c r="R168" s="60">
        <f t="shared" si="35"/>
        <v>32.18150008177883</v>
      </c>
      <c r="S168" s="60">
        <f t="shared" si="34"/>
        <v>40.21057314234508</v>
      </c>
      <c r="T168" s="60">
        <f aca="true" t="shared" si="36" ref="T168:AA168">FV(T$120,$C168,,-$B$121)</f>
        <v>50.19118309109074</v>
      </c>
      <c r="U168" s="60">
        <f t="shared" si="36"/>
        <v>62.585236996733904</v>
      </c>
      <c r="V168" s="60">
        <f t="shared" si="36"/>
        <v>77.96105731993963</v>
      </c>
      <c r="W168" s="60">
        <f t="shared" si="36"/>
        <v>97.01723378487247</v>
      </c>
      <c r="X168" s="60">
        <f t="shared" si="36"/>
        <v>120.61167395192338</v>
      </c>
      <c r="Y168" s="60">
        <f t="shared" si="36"/>
        <v>149.79695377015793</v>
      </c>
      <c r="Z168" s="60">
        <f t="shared" si="36"/>
        <v>185.86329600555308</v>
      </c>
      <c r="AA168" s="60">
        <f t="shared" si="36"/>
        <v>230.39077633131407</v>
      </c>
      <c r="AB168" s="61">
        <f t="shared" si="29"/>
        <v>48</v>
      </c>
    </row>
    <row r="169" spans="3:28" ht="12.75">
      <c r="C169" s="59">
        <v>49</v>
      </c>
      <c r="D169" s="60">
        <f t="shared" si="35"/>
        <v>1.2768416069008564</v>
      </c>
      <c r="E169" s="60">
        <f t="shared" si="35"/>
        <v>1.62834833845929</v>
      </c>
      <c r="F169" s="60">
        <f t="shared" si="35"/>
        <v>2.0741304636526703</v>
      </c>
      <c r="G169" s="60">
        <f t="shared" si="35"/>
        <v>2.6388117932094164</v>
      </c>
      <c r="H169" s="60">
        <f t="shared" si="35"/>
        <v>3.3532767997107733</v>
      </c>
      <c r="I169" s="60">
        <f t="shared" si="35"/>
        <v>4.256219435637948</v>
      </c>
      <c r="J169" s="60">
        <f t="shared" si="35"/>
        <v>5.396064594843789</v>
      </c>
      <c r="K169" s="60">
        <f t="shared" si="35"/>
        <v>6.833349371421463</v>
      </c>
      <c r="L169" s="60">
        <f t="shared" si="35"/>
        <v>8.643671074201336</v>
      </c>
      <c r="M169" s="60">
        <f t="shared" si="35"/>
        <v>10.921333129289224</v>
      </c>
      <c r="N169" s="60">
        <f t="shared" si="35"/>
        <v>13.783849482957903</v>
      </c>
      <c r="O169" s="60">
        <f t="shared" si="35"/>
        <v>17.37750403301084</v>
      </c>
      <c r="P169" s="60">
        <f t="shared" si="35"/>
        <v>21.88420533211123</v>
      </c>
      <c r="Q169" s="60">
        <f t="shared" si="35"/>
        <v>27.529929965487224</v>
      </c>
      <c r="R169" s="60">
        <f t="shared" si="35"/>
        <v>34.59511258791224</v>
      </c>
      <c r="S169" s="60">
        <f t="shared" si="35"/>
        <v>43.427418993732694</v>
      </c>
      <c r="T169" s="60">
        <f aca="true" t="shared" si="37" ref="T169:AA170">FV(T$120,$C169,,-$B$121)</f>
        <v>54.457433653833455</v>
      </c>
      <c r="U169" s="60">
        <f t="shared" si="37"/>
        <v>68.21790832643995</v>
      </c>
      <c r="V169" s="60">
        <f t="shared" si="37"/>
        <v>85.36735776533389</v>
      </c>
      <c r="W169" s="60">
        <f t="shared" si="37"/>
        <v>106.71895716335973</v>
      </c>
      <c r="X169" s="60">
        <f t="shared" si="37"/>
        <v>133.27589971687533</v>
      </c>
      <c r="Y169" s="60">
        <f t="shared" si="37"/>
        <v>166.2746186848753</v>
      </c>
      <c r="Z169" s="60">
        <f t="shared" si="37"/>
        <v>207.2375750461917</v>
      </c>
      <c r="AA169" s="60">
        <f t="shared" si="37"/>
        <v>258.03766949107177</v>
      </c>
      <c r="AB169" s="61">
        <f t="shared" si="29"/>
        <v>49</v>
      </c>
    </row>
    <row r="170" spans="3:28" ht="13.5" thickBot="1">
      <c r="C170" s="62">
        <v>50</v>
      </c>
      <c r="D170" s="63">
        <f aca="true" t="shared" si="38" ref="D170:S170">FV(D$120,$C170,,-$B$121)</f>
        <v>1.2832258149353601</v>
      </c>
      <c r="E170" s="63">
        <f t="shared" si="38"/>
        <v>1.6446318218438831</v>
      </c>
      <c r="F170" s="63">
        <f t="shared" si="38"/>
        <v>2.1052424206074605</v>
      </c>
      <c r="G170" s="63">
        <f t="shared" si="38"/>
        <v>2.6915880290736047</v>
      </c>
      <c r="H170" s="63">
        <f t="shared" si="38"/>
        <v>3.437108719703543</v>
      </c>
      <c r="I170" s="63">
        <f t="shared" si="38"/>
        <v>4.383906018707086</v>
      </c>
      <c r="J170" s="63">
        <f t="shared" si="38"/>
        <v>5.584926855663322</v>
      </c>
      <c r="K170" s="63">
        <f t="shared" si="38"/>
        <v>7.106683346278322</v>
      </c>
      <c r="L170" s="63">
        <f t="shared" si="38"/>
        <v>9.032636272540394</v>
      </c>
      <c r="M170" s="63">
        <f t="shared" si="38"/>
        <v>11.467399785753685</v>
      </c>
      <c r="N170" s="63">
        <f t="shared" si="38"/>
        <v>14.541961204520588</v>
      </c>
      <c r="O170" s="63">
        <f t="shared" si="38"/>
        <v>18.42015427499149</v>
      </c>
      <c r="P170" s="63">
        <f t="shared" si="38"/>
        <v>23.306678678698457</v>
      </c>
      <c r="Q170" s="63">
        <f t="shared" si="38"/>
        <v>29.45702506307133</v>
      </c>
      <c r="R170" s="63">
        <f t="shared" si="38"/>
        <v>37.18974603200565</v>
      </c>
      <c r="S170" s="63">
        <f t="shared" si="38"/>
        <v>46.90161251323131</v>
      </c>
      <c r="T170" s="63">
        <f t="shared" si="37"/>
        <v>59.0863155144093</v>
      </c>
      <c r="U170" s="63">
        <f t="shared" si="37"/>
        <v>74.35752007581956</v>
      </c>
      <c r="V170" s="63">
        <f t="shared" si="37"/>
        <v>93.47725675304062</v>
      </c>
      <c r="W170" s="63">
        <f t="shared" si="37"/>
        <v>117.39085287969571</v>
      </c>
      <c r="X170" s="63">
        <f t="shared" si="37"/>
        <v>147.26986918714726</v>
      </c>
      <c r="Y170" s="63">
        <f t="shared" si="37"/>
        <v>184.5648267402116</v>
      </c>
      <c r="Z170" s="63">
        <f t="shared" si="37"/>
        <v>231.06989617650373</v>
      </c>
      <c r="AA170" s="63">
        <f t="shared" si="37"/>
        <v>289.0021898300004</v>
      </c>
      <c r="AB170" s="64">
        <f t="shared" si="29"/>
        <v>50</v>
      </c>
    </row>
    <row r="171" ht="13.5" thickTop="1"/>
    <row r="173" spans="1:28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5" ht="12" customHeight="1" thickBot="1">
      <c r="A175" t="s">
        <v>46</v>
      </c>
    </row>
    <row r="176" spans="3:28" ht="17.25" thickBot="1" thickTop="1">
      <c r="C176" s="66" t="s">
        <v>47</v>
      </c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8"/>
    </row>
    <row r="177" spans="1:28" ht="14.25" thickBot="1" thickTop="1">
      <c r="A177" s="27"/>
      <c r="B177" s="27"/>
      <c r="C177" s="53" t="s">
        <v>40</v>
      </c>
      <c r="D177" s="54">
        <v>0.005</v>
      </c>
      <c r="E177" s="54">
        <v>0.01</v>
      </c>
      <c r="F177" s="54">
        <v>0.015</v>
      </c>
      <c r="G177" s="54">
        <v>0.02</v>
      </c>
      <c r="H177" s="54">
        <v>0.025</v>
      </c>
      <c r="I177" s="54">
        <v>0.03</v>
      </c>
      <c r="J177" s="54">
        <v>0.035</v>
      </c>
      <c r="K177" s="54">
        <v>0.04</v>
      </c>
      <c r="L177" s="54">
        <v>0.045</v>
      </c>
      <c r="M177" s="54">
        <v>0.05</v>
      </c>
      <c r="N177" s="54">
        <v>0.055</v>
      </c>
      <c r="O177" s="54">
        <v>0.06</v>
      </c>
      <c r="P177" s="54">
        <v>0.065</v>
      </c>
      <c r="Q177" s="54">
        <v>0.07</v>
      </c>
      <c r="R177" s="54">
        <v>0.075</v>
      </c>
      <c r="S177" s="54">
        <v>0.08</v>
      </c>
      <c r="T177" s="54">
        <v>0.085</v>
      </c>
      <c r="U177" s="54">
        <v>0.09</v>
      </c>
      <c r="V177" s="54">
        <v>0.095</v>
      </c>
      <c r="W177" s="54">
        <v>0.1</v>
      </c>
      <c r="X177" s="54">
        <v>0.105</v>
      </c>
      <c r="Y177" s="54">
        <v>0.11</v>
      </c>
      <c r="Z177" s="54">
        <v>0.115</v>
      </c>
      <c r="AA177" s="54">
        <v>0.12</v>
      </c>
      <c r="AB177" s="55" t="s">
        <v>39</v>
      </c>
    </row>
    <row r="178" spans="1:28" ht="13.5" thickTop="1">
      <c r="A178" s="51"/>
      <c r="B178" s="50">
        <v>1</v>
      </c>
      <c r="C178" s="56">
        <v>1</v>
      </c>
      <c r="D178" s="57">
        <f>FV(D$177,$C178,,-D64)</f>
        <v>0.9999999999999787</v>
      </c>
      <c r="E178" s="57">
        <f aca="true" t="shared" si="39" ref="E178:AA178">FV(E$177,$C178,,-E64)</f>
        <v>1.0000000000000009</v>
      </c>
      <c r="F178" s="57">
        <f t="shared" si="39"/>
        <v>0.9999999999999936</v>
      </c>
      <c r="G178" s="57">
        <f t="shared" si="39"/>
        <v>1.0000000000000009</v>
      </c>
      <c r="H178" s="57">
        <f t="shared" si="39"/>
        <v>0.9999999999999964</v>
      </c>
      <c r="I178" s="57">
        <f t="shared" si="39"/>
        <v>1.0000000000000009</v>
      </c>
      <c r="J178" s="57">
        <f t="shared" si="39"/>
        <v>0.9999999999999977</v>
      </c>
      <c r="K178" s="57">
        <f t="shared" si="39"/>
        <v>1.0000000000000009</v>
      </c>
      <c r="L178" s="57">
        <f t="shared" si="39"/>
        <v>0.9999999999999984</v>
      </c>
      <c r="M178" s="57">
        <f t="shared" si="39"/>
        <v>1.0000000000000009</v>
      </c>
      <c r="N178" s="57">
        <f t="shared" si="39"/>
        <v>0.9999999999999989</v>
      </c>
      <c r="O178" s="57">
        <f t="shared" si="39"/>
        <v>1.0000000000000009</v>
      </c>
      <c r="P178" s="57">
        <f t="shared" si="39"/>
        <v>0.9999999999999991</v>
      </c>
      <c r="Q178" s="57">
        <f t="shared" si="39"/>
        <v>1.0000000000000009</v>
      </c>
      <c r="R178" s="57">
        <f t="shared" si="39"/>
        <v>0.9999999999999994</v>
      </c>
      <c r="S178" s="57">
        <f t="shared" si="39"/>
        <v>1.0000000000000009</v>
      </c>
      <c r="T178" s="57">
        <f t="shared" si="39"/>
        <v>0.9999999999999997</v>
      </c>
      <c r="U178" s="57">
        <f t="shared" si="39"/>
        <v>1.0000000000000009</v>
      </c>
      <c r="V178" s="57">
        <f t="shared" si="39"/>
        <v>0.9999999999999997</v>
      </c>
      <c r="W178" s="57">
        <f t="shared" si="39"/>
        <v>1.0000000000000009</v>
      </c>
      <c r="X178" s="57">
        <f t="shared" si="39"/>
        <v>0.9999999999999999</v>
      </c>
      <c r="Y178" s="57">
        <f t="shared" si="39"/>
        <v>1.0000000000000009</v>
      </c>
      <c r="Z178" s="57">
        <f t="shared" si="39"/>
        <v>0.9999999999999999</v>
      </c>
      <c r="AA178" s="57">
        <f t="shared" si="39"/>
        <v>1.0000000000000009</v>
      </c>
      <c r="AB178" s="58">
        <f aca="true" t="shared" si="40" ref="AB178:AB197">$C178</f>
        <v>1</v>
      </c>
    </row>
    <row r="179" spans="3:28" ht="12.75">
      <c r="C179" s="59">
        <v>2</v>
      </c>
      <c r="D179" s="60">
        <f aca="true" t="shared" si="41" ref="D179:AA179">FV(D$177,$C179,,-D65)</f>
        <v>2.0049999999999457</v>
      </c>
      <c r="E179" s="60">
        <f t="shared" si="41"/>
        <v>2.0100000000000007</v>
      </c>
      <c r="F179" s="60">
        <f t="shared" si="41"/>
        <v>2.014999999999982</v>
      </c>
      <c r="G179" s="60">
        <f t="shared" si="41"/>
        <v>2.0199999999999996</v>
      </c>
      <c r="H179" s="60">
        <f t="shared" si="41"/>
        <v>2.024999999999997</v>
      </c>
      <c r="I179" s="60">
        <f t="shared" si="41"/>
        <v>2.0299999999999985</v>
      </c>
      <c r="J179" s="60">
        <f t="shared" si="41"/>
        <v>2.034999999999996</v>
      </c>
      <c r="K179" s="60">
        <f t="shared" si="41"/>
        <v>2.0400000000000027</v>
      </c>
      <c r="L179" s="60">
        <f t="shared" si="41"/>
        <v>2.0449999999999955</v>
      </c>
      <c r="M179" s="60">
        <f t="shared" si="41"/>
        <v>2.0500000000000007</v>
      </c>
      <c r="N179" s="60">
        <f t="shared" si="41"/>
        <v>2.054999999999999</v>
      </c>
      <c r="O179" s="60">
        <f t="shared" si="41"/>
        <v>2.0600000000000027</v>
      </c>
      <c r="P179" s="60">
        <f t="shared" si="41"/>
        <v>2.0649999999999973</v>
      </c>
      <c r="Q179" s="60">
        <f t="shared" si="41"/>
        <v>2.0700000000000003</v>
      </c>
      <c r="R179" s="60">
        <f t="shared" si="41"/>
        <v>2.074999999999999</v>
      </c>
      <c r="S179" s="60">
        <f t="shared" si="41"/>
        <v>2.0800000000000014</v>
      </c>
      <c r="T179" s="60">
        <f t="shared" si="41"/>
        <v>2.0849999999999995</v>
      </c>
      <c r="U179" s="60">
        <f t="shared" si="41"/>
        <v>2.0900000000000016</v>
      </c>
      <c r="V179" s="60">
        <f t="shared" si="41"/>
        <v>2.095</v>
      </c>
      <c r="W179" s="60">
        <f t="shared" si="41"/>
        <v>2.100000000000002</v>
      </c>
      <c r="X179" s="60">
        <f t="shared" si="41"/>
        <v>2.1050000000000004</v>
      </c>
      <c r="Y179" s="60">
        <f t="shared" si="41"/>
        <v>2.1100000000000017</v>
      </c>
      <c r="Z179" s="60">
        <f t="shared" si="41"/>
        <v>2.115</v>
      </c>
      <c r="AA179" s="60">
        <f t="shared" si="41"/>
        <v>2.1200000000000014</v>
      </c>
      <c r="AB179" s="61">
        <f t="shared" si="40"/>
        <v>2</v>
      </c>
    </row>
    <row r="180" spans="3:28" ht="12.75">
      <c r="C180" s="59">
        <v>3</v>
      </c>
      <c r="D180" s="60">
        <f aca="true" t="shared" si="42" ref="D180:AA180">FV(D$177,$C180,,-D66)</f>
        <v>3.015024999999927</v>
      </c>
      <c r="E180" s="60">
        <f t="shared" si="42"/>
        <v>3.030099999999991</v>
      </c>
      <c r="F180" s="60">
        <f t="shared" si="42"/>
        <v>3.0452249999999736</v>
      </c>
      <c r="G180" s="60">
        <f t="shared" si="42"/>
        <v>3.0603999999999965</v>
      </c>
      <c r="H180" s="60">
        <f t="shared" si="42"/>
        <v>3.075624999999995</v>
      </c>
      <c r="I180" s="60">
        <f t="shared" si="42"/>
        <v>3.0909000000000004</v>
      </c>
      <c r="J180" s="60">
        <f t="shared" si="42"/>
        <v>3.1062249999999922</v>
      </c>
      <c r="K180" s="60">
        <f t="shared" si="42"/>
        <v>3.121600000000002</v>
      </c>
      <c r="L180" s="60">
        <f t="shared" si="42"/>
        <v>3.137024999999996</v>
      </c>
      <c r="M180" s="60">
        <f t="shared" si="42"/>
        <v>3.1525000000000025</v>
      </c>
      <c r="N180" s="60">
        <f t="shared" si="42"/>
        <v>3.1680249999999965</v>
      </c>
      <c r="O180" s="60">
        <f t="shared" si="42"/>
        <v>3.183600000000005</v>
      </c>
      <c r="P180" s="60">
        <f t="shared" si="42"/>
        <v>3.1992249999999953</v>
      </c>
      <c r="Q180" s="60">
        <f t="shared" si="42"/>
        <v>3.214900000000001</v>
      </c>
      <c r="R180" s="60">
        <f t="shared" si="42"/>
        <v>3.2306249999999985</v>
      </c>
      <c r="S180" s="60">
        <f t="shared" si="42"/>
        <v>3.246400000000002</v>
      </c>
      <c r="T180" s="60">
        <f t="shared" si="42"/>
        <v>3.2622249999999995</v>
      </c>
      <c r="U180" s="60">
        <f t="shared" si="42"/>
        <v>3.278100000000002</v>
      </c>
      <c r="V180" s="60">
        <f t="shared" si="42"/>
        <v>3.294024999999999</v>
      </c>
      <c r="W180" s="60">
        <f t="shared" si="42"/>
        <v>3.310000000000004</v>
      </c>
      <c r="X180" s="60">
        <f t="shared" si="42"/>
        <v>3.3260249999999996</v>
      </c>
      <c r="Y180" s="60">
        <f t="shared" si="42"/>
        <v>3.3421000000000025</v>
      </c>
      <c r="Z180" s="60">
        <f t="shared" si="42"/>
        <v>3.3582250000000005</v>
      </c>
      <c r="AA180" s="60">
        <f t="shared" si="42"/>
        <v>3.3744000000000036</v>
      </c>
      <c r="AB180" s="61">
        <f t="shared" si="40"/>
        <v>3</v>
      </c>
    </row>
    <row r="181" spans="3:28" ht="12.75">
      <c r="C181" s="59">
        <v>4</v>
      </c>
      <c r="D181" s="60">
        <f aca="true" t="shared" si="43" ref="D181:AA181">FV(D$177,$C181,,-D67)</f>
        <v>4.030100124999869</v>
      </c>
      <c r="E181" s="60">
        <f t="shared" si="43"/>
        <v>4.060401000000002</v>
      </c>
      <c r="F181" s="60">
        <f t="shared" si="43"/>
        <v>4.090903374999963</v>
      </c>
      <c r="G181" s="60">
        <f t="shared" si="43"/>
        <v>4.121607999999998</v>
      </c>
      <c r="H181" s="60">
        <f t="shared" si="43"/>
        <v>4.152515624999991</v>
      </c>
      <c r="I181" s="60">
        <f t="shared" si="43"/>
        <v>4.183626999999998</v>
      </c>
      <c r="J181" s="60">
        <f t="shared" si="43"/>
        <v>4.21494287499999</v>
      </c>
      <c r="K181" s="60">
        <f t="shared" si="43"/>
        <v>4.246464000000005</v>
      </c>
      <c r="L181" s="60">
        <f t="shared" si="43"/>
        <v>4.278191124999989</v>
      </c>
      <c r="M181" s="60">
        <f t="shared" si="43"/>
        <v>4.310125</v>
      </c>
      <c r="N181" s="60">
        <f t="shared" si="43"/>
        <v>4.342266374999997</v>
      </c>
      <c r="O181" s="60">
        <f t="shared" si="43"/>
        <v>4.374616000000006</v>
      </c>
      <c r="P181" s="60">
        <f t="shared" si="43"/>
        <v>4.4071746249999935</v>
      </c>
      <c r="Q181" s="60">
        <f t="shared" si="43"/>
        <v>4.4399429999999995</v>
      </c>
      <c r="R181" s="60">
        <f t="shared" si="43"/>
        <v>4.472921874999999</v>
      </c>
      <c r="S181" s="60">
        <f t="shared" si="43"/>
        <v>4.5061120000000034</v>
      </c>
      <c r="T181" s="60">
        <f t="shared" si="43"/>
        <v>4.5395141249999975</v>
      </c>
      <c r="U181" s="60">
        <f t="shared" si="43"/>
        <v>4.573129000000003</v>
      </c>
      <c r="V181" s="60">
        <f t="shared" si="43"/>
        <v>4.6069573749999995</v>
      </c>
      <c r="W181" s="60">
        <f t="shared" si="43"/>
        <v>4.641000000000004</v>
      </c>
      <c r="X181" s="60">
        <f t="shared" si="43"/>
        <v>4.675257625000001</v>
      </c>
      <c r="Y181" s="60">
        <f t="shared" si="43"/>
        <v>4.709731000000004</v>
      </c>
      <c r="Z181" s="60">
        <f t="shared" si="43"/>
        <v>4.744420875000001</v>
      </c>
      <c r="AA181" s="60">
        <f t="shared" si="43"/>
        <v>4.779328000000003</v>
      </c>
      <c r="AB181" s="61">
        <f t="shared" si="40"/>
        <v>4</v>
      </c>
    </row>
    <row r="182" spans="3:28" ht="13.5" thickBot="1">
      <c r="C182" s="62">
        <v>5</v>
      </c>
      <c r="D182" s="63">
        <f aca="true" t="shared" si="44" ref="D182:AA182">FV(D$177,$C182,,-D68)</f>
        <v>5.05025062562483</v>
      </c>
      <c r="E182" s="63">
        <f t="shared" si="44"/>
        <v>5.101005009999993</v>
      </c>
      <c r="F182" s="63">
        <f t="shared" si="44"/>
        <v>5.152266925624953</v>
      </c>
      <c r="G182" s="63">
        <f t="shared" si="44"/>
        <v>5.204040160000001</v>
      </c>
      <c r="H182" s="63">
        <f t="shared" si="44"/>
        <v>5.256328515624987</v>
      </c>
      <c r="I182" s="63">
        <f t="shared" si="44"/>
        <v>5.309135809999995</v>
      </c>
      <c r="J182" s="63">
        <f t="shared" si="44"/>
        <v>5.362465875624985</v>
      </c>
      <c r="K182" s="63">
        <f t="shared" si="44"/>
        <v>5.416322560000008</v>
      </c>
      <c r="L182" s="63">
        <f t="shared" si="44"/>
        <v>5.470709725624988</v>
      </c>
      <c r="M182" s="63">
        <f t="shared" si="44"/>
        <v>5.525631250000003</v>
      </c>
      <c r="N182" s="63">
        <f t="shared" si="44"/>
        <v>5.581091025624994</v>
      </c>
      <c r="O182" s="63">
        <f t="shared" si="44"/>
        <v>5.637092960000009</v>
      </c>
      <c r="P182" s="63">
        <f t="shared" si="44"/>
        <v>5.6936409756249935</v>
      </c>
      <c r="Q182" s="63">
        <f t="shared" si="44"/>
        <v>5.750739010000003</v>
      </c>
      <c r="R182" s="63">
        <f t="shared" si="44"/>
        <v>5.8083910156249985</v>
      </c>
      <c r="S182" s="63">
        <f t="shared" si="44"/>
        <v>5.866600960000004</v>
      </c>
      <c r="T182" s="63">
        <f t="shared" si="44"/>
        <v>5.925372825624997</v>
      </c>
      <c r="U182" s="63">
        <f t="shared" si="44"/>
        <v>5.984710610000006</v>
      </c>
      <c r="V182" s="63">
        <f t="shared" si="44"/>
        <v>6.044618325625</v>
      </c>
      <c r="W182" s="63">
        <f t="shared" si="44"/>
        <v>6.1051000000000055</v>
      </c>
      <c r="X182" s="63">
        <f t="shared" si="44"/>
        <v>6.166159675625002</v>
      </c>
      <c r="Y182" s="63">
        <f t="shared" si="44"/>
        <v>6.227801410000005</v>
      </c>
      <c r="Z182" s="63">
        <f t="shared" si="44"/>
        <v>6.290029275625002</v>
      </c>
      <c r="AA182" s="63">
        <f t="shared" si="44"/>
        <v>6.352847360000005</v>
      </c>
      <c r="AB182" s="64">
        <f t="shared" si="40"/>
        <v>5</v>
      </c>
    </row>
    <row r="183" spans="3:28" ht="13.5" thickTop="1">
      <c r="C183" s="59">
        <v>6</v>
      </c>
      <c r="D183" s="57">
        <f aca="true" t="shared" si="45" ref="D183:AA183">FV(D$177,$C183,,-D69)</f>
        <v>6.07550187875292</v>
      </c>
      <c r="E183" s="57">
        <f t="shared" si="45"/>
        <v>6.152015060100013</v>
      </c>
      <c r="F183" s="57">
        <f t="shared" si="45"/>
        <v>6.229550929509313</v>
      </c>
      <c r="G183" s="57">
        <f t="shared" si="45"/>
        <v>6.308120963200003</v>
      </c>
      <c r="H183" s="57">
        <f t="shared" si="45"/>
        <v>6.387736728515607</v>
      </c>
      <c r="I183" s="57">
        <f t="shared" si="45"/>
        <v>6.468409884299998</v>
      </c>
      <c r="J183" s="57">
        <f t="shared" si="45"/>
        <v>6.550152181271861</v>
      </c>
      <c r="K183" s="57">
        <f t="shared" si="45"/>
        <v>6.632975462400009</v>
      </c>
      <c r="L183" s="57">
        <f t="shared" si="45"/>
        <v>6.716891663278106</v>
      </c>
      <c r="M183" s="57">
        <f t="shared" si="45"/>
        <v>6.8019128124999995</v>
      </c>
      <c r="N183" s="57">
        <f t="shared" si="45"/>
        <v>6.888051032034368</v>
      </c>
      <c r="O183" s="57">
        <f t="shared" si="45"/>
        <v>6.9753185376000095</v>
      </c>
      <c r="P183" s="57">
        <f t="shared" si="45"/>
        <v>7.063727639040615</v>
      </c>
      <c r="Q183" s="57">
        <f t="shared" si="45"/>
        <v>7.1532907407</v>
      </c>
      <c r="R183" s="57">
        <f t="shared" si="45"/>
        <v>7.244020341796871</v>
      </c>
      <c r="S183" s="57">
        <f t="shared" si="45"/>
        <v>7.335929036800007</v>
      </c>
      <c r="T183" s="57">
        <f t="shared" si="45"/>
        <v>7.429029515803121</v>
      </c>
      <c r="U183" s="57">
        <f t="shared" si="45"/>
        <v>7.523334564900007</v>
      </c>
      <c r="V183" s="57">
        <f t="shared" si="45"/>
        <v>7.618857066559375</v>
      </c>
      <c r="W183" s="57">
        <f t="shared" si="45"/>
        <v>7.715610000000008</v>
      </c>
      <c r="X183" s="57">
        <f t="shared" si="45"/>
        <v>7.813606441565627</v>
      </c>
      <c r="Y183" s="57">
        <f t="shared" si="45"/>
        <v>7.912859565100006</v>
      </c>
      <c r="Z183" s="57">
        <f t="shared" si="45"/>
        <v>8.013382642321877</v>
      </c>
      <c r="AA183" s="57">
        <f t="shared" si="45"/>
        <v>8.115189043200008</v>
      </c>
      <c r="AB183" s="58">
        <f t="shared" si="40"/>
        <v>6</v>
      </c>
    </row>
    <row r="184" spans="3:28" ht="12.75">
      <c r="C184" s="59">
        <v>7</v>
      </c>
      <c r="D184" s="60">
        <f aca="true" t="shared" si="46" ref="D184:AA184">FV(D$177,$C184,,-D70)</f>
        <v>7.105879388146663</v>
      </c>
      <c r="E184" s="60">
        <f t="shared" si="46"/>
        <v>7.213535210700983</v>
      </c>
      <c r="F184" s="60">
        <f t="shared" si="46"/>
        <v>7.322994193451941</v>
      </c>
      <c r="G184" s="60">
        <f t="shared" si="46"/>
        <v>7.434283382463991</v>
      </c>
      <c r="H184" s="60">
        <f t="shared" si="46"/>
        <v>7.5474301467285</v>
      </c>
      <c r="I184" s="60">
        <f t="shared" si="46"/>
        <v>7.662462180828999</v>
      </c>
      <c r="J184" s="60">
        <f t="shared" si="46"/>
        <v>7.779407507616374</v>
      </c>
      <c r="K184" s="60">
        <f t="shared" si="46"/>
        <v>7.8982944808960065</v>
      </c>
      <c r="L184" s="60">
        <f t="shared" si="46"/>
        <v>8.019151788125622</v>
      </c>
      <c r="M184" s="60">
        <f t="shared" si="46"/>
        <v>8.142008453125005</v>
      </c>
      <c r="N184" s="60">
        <f t="shared" si="46"/>
        <v>8.266893838796257</v>
      </c>
      <c r="O184" s="60">
        <f t="shared" si="46"/>
        <v>8.393837649856014</v>
      </c>
      <c r="P184" s="60">
        <f t="shared" si="46"/>
        <v>8.522869935578251</v>
      </c>
      <c r="Q184" s="60">
        <f t="shared" si="46"/>
        <v>8.654021092549002</v>
      </c>
      <c r="R184" s="60">
        <f t="shared" si="46"/>
        <v>8.787321867431638</v>
      </c>
      <c r="S184" s="60">
        <f t="shared" si="46"/>
        <v>8.922803359744009</v>
      </c>
      <c r="T184" s="60">
        <f t="shared" si="46"/>
        <v>9.060497024646388</v>
      </c>
      <c r="U184" s="60">
        <f t="shared" si="46"/>
        <v>9.200434675741008</v>
      </c>
      <c r="V184" s="60">
        <f t="shared" si="46"/>
        <v>9.342648487882515</v>
      </c>
      <c r="W184" s="60">
        <f t="shared" si="46"/>
        <v>9.48717100000001</v>
      </c>
      <c r="X184" s="60">
        <f t="shared" si="46"/>
        <v>9.634035117930019</v>
      </c>
      <c r="Y184" s="60">
        <f t="shared" si="46"/>
        <v>9.783274117261007</v>
      </c>
      <c r="Z184" s="60">
        <f t="shared" si="46"/>
        <v>9.934921646188892</v>
      </c>
      <c r="AA184" s="60">
        <f t="shared" si="46"/>
        <v>10.089011728384008</v>
      </c>
      <c r="AB184" s="61">
        <f t="shared" si="40"/>
        <v>7</v>
      </c>
    </row>
    <row r="185" spans="3:28" ht="12.75">
      <c r="C185" s="59">
        <v>8</v>
      </c>
      <c r="D185" s="60">
        <f aca="true" t="shared" si="47" ref="D185:AA185">FV(D$177,$C185,,-D71)</f>
        <v>8.141408785087378</v>
      </c>
      <c r="E185" s="60">
        <f t="shared" si="47"/>
        <v>8.285670562808022</v>
      </c>
      <c r="F185" s="60">
        <f t="shared" si="47"/>
        <v>8.432839106353715</v>
      </c>
      <c r="G185" s="60">
        <f t="shared" si="47"/>
        <v>8.582969050113276</v>
      </c>
      <c r="H185" s="60">
        <f t="shared" si="47"/>
        <v>8.736115900396708</v>
      </c>
      <c r="I185" s="60">
        <f t="shared" si="47"/>
        <v>8.892336046253865</v>
      </c>
      <c r="J185" s="60">
        <f t="shared" si="47"/>
        <v>9.05168677038294</v>
      </c>
      <c r="K185" s="60">
        <f t="shared" si="47"/>
        <v>9.214226260131852</v>
      </c>
      <c r="L185" s="60">
        <f t="shared" si="47"/>
        <v>9.380013618591265</v>
      </c>
      <c r="M185" s="60">
        <f t="shared" si="47"/>
        <v>9.54910887578125</v>
      </c>
      <c r="N185" s="60">
        <f t="shared" si="47"/>
        <v>9.721572999930052</v>
      </c>
      <c r="O185" s="60">
        <f t="shared" si="47"/>
        <v>9.897467908847373</v>
      </c>
      <c r="P185" s="60">
        <f t="shared" si="47"/>
        <v>10.076856481390836</v>
      </c>
      <c r="Q185" s="60">
        <f t="shared" si="47"/>
        <v>10.25980256902743</v>
      </c>
      <c r="R185" s="60">
        <f t="shared" si="47"/>
        <v>10.44637100748901</v>
      </c>
      <c r="S185" s="60">
        <f t="shared" si="47"/>
        <v>10.636627628523529</v>
      </c>
      <c r="T185" s="60">
        <f t="shared" si="47"/>
        <v>10.830639271741328</v>
      </c>
      <c r="U185" s="60">
        <f t="shared" si="47"/>
        <v>11.0284737965577</v>
      </c>
      <c r="V185" s="60">
        <f t="shared" si="47"/>
        <v>11.230200094231355</v>
      </c>
      <c r="W185" s="60">
        <f t="shared" si="47"/>
        <v>11.43588810000001</v>
      </c>
      <c r="X185" s="60">
        <f t="shared" si="47"/>
        <v>11.64560880531267</v>
      </c>
      <c r="Y185" s="60">
        <f t="shared" si="47"/>
        <v>11.859434270159722</v>
      </c>
      <c r="Z185" s="60">
        <f t="shared" si="47"/>
        <v>12.077437635500619</v>
      </c>
      <c r="AA185" s="60">
        <f t="shared" si="47"/>
        <v>12.299693135790092</v>
      </c>
      <c r="AB185" s="61">
        <f t="shared" si="40"/>
        <v>8</v>
      </c>
    </row>
    <row r="186" spans="3:28" ht="12.75">
      <c r="C186" s="59">
        <v>9</v>
      </c>
      <c r="D186" s="60">
        <f aca="true" t="shared" si="48" ref="D186:AA186">FV(D$177,$C186,,-D72)</f>
        <v>9.182115829012805</v>
      </c>
      <c r="E186" s="60">
        <f t="shared" si="48"/>
        <v>9.368527268436111</v>
      </c>
      <c r="F186" s="60">
        <f t="shared" si="48"/>
        <v>9.55933169294901</v>
      </c>
      <c r="G186" s="60">
        <f t="shared" si="48"/>
        <v>9.754628431115542</v>
      </c>
      <c r="H186" s="60">
        <f t="shared" si="48"/>
        <v>9.954518797906617</v>
      </c>
      <c r="I186" s="60">
        <f t="shared" si="48"/>
        <v>10.159106127641483</v>
      </c>
      <c r="J186" s="60">
        <f t="shared" si="48"/>
        <v>10.368495807346337</v>
      </c>
      <c r="K186" s="60">
        <f t="shared" si="48"/>
        <v>10.58279531053713</v>
      </c>
      <c r="L186" s="60">
        <f t="shared" si="48"/>
        <v>10.80211423142787</v>
      </c>
      <c r="M186" s="60">
        <f t="shared" si="48"/>
        <v>11.026564319570316</v>
      </c>
      <c r="N186" s="60">
        <f t="shared" si="48"/>
        <v>11.256259514926205</v>
      </c>
      <c r="O186" s="60">
        <f t="shared" si="48"/>
        <v>11.491315983378215</v>
      </c>
      <c r="P186" s="60">
        <f t="shared" si="48"/>
        <v>11.73185215268124</v>
      </c>
      <c r="Q186" s="60">
        <f t="shared" si="48"/>
        <v>11.977988748859355</v>
      </c>
      <c r="R186" s="60">
        <f t="shared" si="48"/>
        <v>12.229848833050685</v>
      </c>
      <c r="S186" s="60">
        <f t="shared" si="48"/>
        <v>12.487557838805413</v>
      </c>
      <c r="T186" s="60">
        <f t="shared" si="48"/>
        <v>12.751243609839339</v>
      </c>
      <c r="U186" s="60">
        <f t="shared" si="48"/>
        <v>13.021036438247895</v>
      </c>
      <c r="V186" s="60">
        <f t="shared" si="48"/>
        <v>13.297069103183333</v>
      </c>
      <c r="W186" s="60">
        <f t="shared" si="48"/>
        <v>13.579476910000015</v>
      </c>
      <c r="X186" s="60">
        <f t="shared" si="48"/>
        <v>13.868397729870498</v>
      </c>
      <c r="Y186" s="60">
        <f t="shared" si="48"/>
        <v>14.163972039877295</v>
      </c>
      <c r="Z186" s="60">
        <f t="shared" si="48"/>
        <v>14.466342963583187</v>
      </c>
      <c r="AA186" s="60">
        <f t="shared" si="48"/>
        <v>14.775656312084903</v>
      </c>
      <c r="AB186" s="61">
        <f t="shared" si="40"/>
        <v>9</v>
      </c>
    </row>
    <row r="187" spans="3:28" ht="13.5" thickBot="1">
      <c r="C187" s="62">
        <v>10</v>
      </c>
      <c r="D187" s="63">
        <f aca="true" t="shared" si="49" ref="D187:AA187">FV(D$177,$C187,,-D73)</f>
        <v>10.228026408157831</v>
      </c>
      <c r="E187" s="63">
        <f t="shared" si="49"/>
        <v>10.462212541120474</v>
      </c>
      <c r="F187" s="63">
        <f t="shared" si="49"/>
        <v>10.702721668343237</v>
      </c>
      <c r="G187" s="63">
        <f t="shared" si="49"/>
        <v>10.949720999737856</v>
      </c>
      <c r="H187" s="63">
        <f t="shared" si="49"/>
        <v>11.203381767854285</v>
      </c>
      <c r="I187" s="63">
        <f t="shared" si="49"/>
        <v>11.463879311470727</v>
      </c>
      <c r="J187" s="63">
        <f t="shared" si="49"/>
        <v>11.731393160603456</v>
      </c>
      <c r="K187" s="63">
        <f t="shared" si="49"/>
        <v>12.006107122958612</v>
      </c>
      <c r="L187" s="63">
        <f t="shared" si="49"/>
        <v>12.288209371842118</v>
      </c>
      <c r="M187" s="63">
        <f t="shared" si="49"/>
        <v>12.57789253554883</v>
      </c>
      <c r="N187" s="63">
        <f t="shared" si="49"/>
        <v>12.875353788247144</v>
      </c>
      <c r="O187" s="63">
        <f t="shared" si="49"/>
        <v>13.18079494238091</v>
      </c>
      <c r="P187" s="63">
        <f t="shared" si="49"/>
        <v>13.494422542605518</v>
      </c>
      <c r="Q187" s="63">
        <f t="shared" si="49"/>
        <v>13.816447961279508</v>
      </c>
      <c r="R187" s="63">
        <f t="shared" si="49"/>
        <v>14.147087495529481</v>
      </c>
      <c r="S187" s="63">
        <f t="shared" si="49"/>
        <v>14.486562465909847</v>
      </c>
      <c r="T187" s="63">
        <f t="shared" si="49"/>
        <v>14.835099316675684</v>
      </c>
      <c r="U187" s="63">
        <f t="shared" si="49"/>
        <v>15.192929717690209</v>
      </c>
      <c r="V187" s="63">
        <f t="shared" si="49"/>
        <v>15.560290667985752</v>
      </c>
      <c r="W187" s="63">
        <f t="shared" si="49"/>
        <v>15.93742460100002</v>
      </c>
      <c r="X187" s="63">
        <f t="shared" si="49"/>
        <v>16.324579491506906</v>
      </c>
      <c r="Y187" s="63">
        <f t="shared" si="49"/>
        <v>16.7220089642638</v>
      </c>
      <c r="Z187" s="63">
        <f t="shared" si="49"/>
        <v>17.129972404395257</v>
      </c>
      <c r="AA187" s="63">
        <f t="shared" si="49"/>
        <v>17.548735069535095</v>
      </c>
      <c r="AB187" s="64">
        <f t="shared" si="40"/>
        <v>10</v>
      </c>
    </row>
    <row r="188" spans="3:28" ht="13.5" thickTop="1">
      <c r="C188" s="59">
        <v>11</v>
      </c>
      <c r="D188" s="57">
        <f aca="true" t="shared" si="50" ref="D188:AA188">FV(D$177,$C188,,-D74)</f>
        <v>11.279166540198604</v>
      </c>
      <c r="E188" s="57">
        <f t="shared" si="50"/>
        <v>11.566834666531653</v>
      </c>
      <c r="F188" s="57">
        <f t="shared" si="50"/>
        <v>11.863262493368376</v>
      </c>
      <c r="G188" s="57">
        <f t="shared" si="50"/>
        <v>12.168715419732601</v>
      </c>
      <c r="H188" s="57">
        <f t="shared" si="50"/>
        <v>12.48346631205064</v>
      </c>
      <c r="I188" s="57">
        <f t="shared" si="50"/>
        <v>12.80779569081485</v>
      </c>
      <c r="J188" s="57">
        <f t="shared" si="50"/>
        <v>13.141991921224578</v>
      </c>
      <c r="K188" s="57">
        <f t="shared" si="50"/>
        <v>13.486351407876956</v>
      </c>
      <c r="L188" s="57">
        <f t="shared" si="50"/>
        <v>13.841178793575015</v>
      </c>
      <c r="M188" s="57">
        <f t="shared" si="50"/>
        <v>14.206787162326275</v>
      </c>
      <c r="N188" s="57">
        <f t="shared" si="50"/>
        <v>14.583498246600733</v>
      </c>
      <c r="O188" s="57">
        <f t="shared" si="50"/>
        <v>14.97164263892377</v>
      </c>
      <c r="P188" s="57">
        <f t="shared" si="50"/>
        <v>15.371560007874871</v>
      </c>
      <c r="Q188" s="57">
        <f t="shared" si="50"/>
        <v>15.783599318569076</v>
      </c>
      <c r="R188" s="57">
        <f t="shared" si="50"/>
        <v>16.208119057694198</v>
      </c>
      <c r="S188" s="57">
        <f t="shared" si="50"/>
        <v>16.645487463182633</v>
      </c>
      <c r="T188" s="57">
        <f t="shared" si="50"/>
        <v>17.096082758593116</v>
      </c>
      <c r="U188" s="57">
        <f t="shared" si="50"/>
        <v>17.560293392282325</v>
      </c>
      <c r="V188" s="57">
        <f t="shared" si="50"/>
        <v>18.038518281444397</v>
      </c>
      <c r="W188" s="57">
        <f t="shared" si="50"/>
        <v>18.531167061100025</v>
      </c>
      <c r="X188" s="57">
        <f t="shared" si="50"/>
        <v>19.038660338115125</v>
      </c>
      <c r="Y188" s="57">
        <f t="shared" si="50"/>
        <v>19.56142995033282</v>
      </c>
      <c r="Z188" s="57">
        <f t="shared" si="50"/>
        <v>20.09991923090071</v>
      </c>
      <c r="AA188" s="57">
        <f t="shared" si="50"/>
        <v>20.65458327787931</v>
      </c>
      <c r="AB188" s="58">
        <f t="shared" si="40"/>
        <v>11</v>
      </c>
    </row>
    <row r="189" spans="3:28" ht="12.75">
      <c r="C189" s="59">
        <v>12</v>
      </c>
      <c r="D189" s="60">
        <f aca="true" t="shared" si="51" ref="D189:AA189">FV(D$177,$C189,,-D75)</f>
        <v>12.335562372899522</v>
      </c>
      <c r="E189" s="60">
        <f t="shared" si="51"/>
        <v>12.682503013196976</v>
      </c>
      <c r="F189" s="60">
        <f t="shared" si="51"/>
        <v>13.041211430768884</v>
      </c>
      <c r="G189" s="60">
        <f t="shared" si="51"/>
        <v>13.412089728127262</v>
      </c>
      <c r="H189" s="60">
        <f t="shared" si="51"/>
        <v>13.7955529698519</v>
      </c>
      <c r="I189" s="60">
        <f t="shared" si="51"/>
        <v>14.192029561539286</v>
      </c>
      <c r="J189" s="60">
        <f t="shared" si="51"/>
        <v>14.601961638467436</v>
      </c>
      <c r="K189" s="60">
        <f t="shared" si="51"/>
        <v>15.025805464192045</v>
      </c>
      <c r="L189" s="60">
        <f t="shared" si="51"/>
        <v>15.464031839285882</v>
      </c>
      <c r="M189" s="60">
        <f t="shared" si="51"/>
        <v>15.917126520442585</v>
      </c>
      <c r="N189" s="60">
        <f t="shared" si="51"/>
        <v>16.385590650163774</v>
      </c>
      <c r="O189" s="60">
        <f t="shared" si="51"/>
        <v>16.869941197259198</v>
      </c>
      <c r="P189" s="60">
        <f t="shared" si="51"/>
        <v>17.370711408386736</v>
      </c>
      <c r="Q189" s="60">
        <f t="shared" si="51"/>
        <v>17.888451270868906</v>
      </c>
      <c r="R189" s="60">
        <f t="shared" si="51"/>
        <v>18.42372798702126</v>
      </c>
      <c r="S189" s="60">
        <f t="shared" si="51"/>
        <v>18.977126460237248</v>
      </c>
      <c r="T189" s="60">
        <f t="shared" si="51"/>
        <v>19.549249793073525</v>
      </c>
      <c r="U189" s="60">
        <f t="shared" si="51"/>
        <v>20.140719797587735</v>
      </c>
      <c r="V189" s="60">
        <f t="shared" si="51"/>
        <v>20.752177518181618</v>
      </c>
      <c r="W189" s="60">
        <f t="shared" si="51"/>
        <v>21.384283767210025</v>
      </c>
      <c r="X189" s="60">
        <f t="shared" si="51"/>
        <v>22.037719673617218</v>
      </c>
      <c r="Y189" s="60">
        <f t="shared" si="51"/>
        <v>22.71318724486943</v>
      </c>
      <c r="Z189" s="60">
        <f t="shared" si="51"/>
        <v>23.411409942454295</v>
      </c>
      <c r="AA189" s="60">
        <f t="shared" si="51"/>
        <v>24.133133271224825</v>
      </c>
      <c r="AB189" s="61">
        <f t="shared" si="40"/>
        <v>12</v>
      </c>
    </row>
    <row r="190" spans="3:28" ht="12.75">
      <c r="C190" s="59">
        <v>13</v>
      </c>
      <c r="D190" s="60">
        <f aca="true" t="shared" si="52" ref="D190:AA190">FV(D$177,$C190,,-D76)</f>
        <v>13.397240184764003</v>
      </c>
      <c r="E190" s="60">
        <f t="shared" si="52"/>
        <v>13.80932804332895</v>
      </c>
      <c r="F190" s="60">
        <f t="shared" si="52"/>
        <v>14.236829602230411</v>
      </c>
      <c r="G190" s="60">
        <f t="shared" si="52"/>
        <v>14.680331522689805</v>
      </c>
      <c r="H190" s="60">
        <f t="shared" si="52"/>
        <v>15.140441794098196</v>
      </c>
      <c r="I190" s="60">
        <f t="shared" si="52"/>
        <v>15.617790448385467</v>
      </c>
      <c r="J190" s="60">
        <f t="shared" si="52"/>
        <v>16.113030295813786</v>
      </c>
      <c r="K190" s="60">
        <f t="shared" si="52"/>
        <v>16.626837682759724</v>
      </c>
      <c r="L190" s="60">
        <f t="shared" si="52"/>
        <v>17.15991327205375</v>
      </c>
      <c r="M190" s="60">
        <f t="shared" si="52"/>
        <v>17.71298284646472</v>
      </c>
      <c r="N190" s="60">
        <f t="shared" si="52"/>
        <v>18.28679813592278</v>
      </c>
      <c r="O190" s="60">
        <f t="shared" si="52"/>
        <v>18.882137669094753</v>
      </c>
      <c r="P190" s="60">
        <f t="shared" si="52"/>
        <v>19.499807649931874</v>
      </c>
      <c r="Q190" s="60">
        <f t="shared" si="52"/>
        <v>20.140642859829732</v>
      </c>
      <c r="R190" s="60">
        <f t="shared" si="52"/>
        <v>20.805507586047856</v>
      </c>
      <c r="S190" s="60">
        <f t="shared" si="52"/>
        <v>21.495296577056227</v>
      </c>
      <c r="T190" s="60">
        <f t="shared" si="52"/>
        <v>22.210936025484777</v>
      </c>
      <c r="U190" s="60">
        <f t="shared" si="52"/>
        <v>22.95338457937064</v>
      </c>
      <c r="V190" s="60">
        <f t="shared" si="52"/>
        <v>23.723634382408868</v>
      </c>
      <c r="W190" s="60">
        <f t="shared" si="52"/>
        <v>24.522712143931027</v>
      </c>
      <c r="X190" s="60">
        <f t="shared" si="52"/>
        <v>25.35168023934703</v>
      </c>
      <c r="Y190" s="60">
        <f t="shared" si="52"/>
        <v>26.21163784180507</v>
      </c>
      <c r="Z190" s="60">
        <f t="shared" si="52"/>
        <v>27.103722085836537</v>
      </c>
      <c r="AA190" s="60">
        <f t="shared" si="52"/>
        <v>28.029109263771808</v>
      </c>
      <c r="AB190" s="61">
        <f t="shared" si="40"/>
        <v>13</v>
      </c>
    </row>
    <row r="191" spans="3:28" ht="12.75">
      <c r="C191" s="59">
        <v>14</v>
      </c>
      <c r="D191" s="60">
        <f aca="true" t="shared" si="53" ref="D191:AA191">FV(D$177,$C191,,-D77)</f>
        <v>14.464226385687784</v>
      </c>
      <c r="E191" s="60">
        <f t="shared" si="53"/>
        <v>14.947421323762255</v>
      </c>
      <c r="F191" s="60">
        <f t="shared" si="53"/>
        <v>15.450382046263849</v>
      </c>
      <c r="G191" s="60">
        <f t="shared" si="53"/>
        <v>15.973938153143608</v>
      </c>
      <c r="H191" s="60">
        <f t="shared" si="53"/>
        <v>16.518952838950643</v>
      </c>
      <c r="I191" s="60">
        <f t="shared" si="53"/>
        <v>17.086324161837034</v>
      </c>
      <c r="J191" s="60">
        <f t="shared" si="53"/>
        <v>17.676986356167273</v>
      </c>
      <c r="K191" s="60">
        <f t="shared" si="53"/>
        <v>18.291911190070113</v>
      </c>
      <c r="L191" s="60">
        <f t="shared" si="53"/>
        <v>18.932109369296157</v>
      </c>
      <c r="M191" s="60">
        <f t="shared" si="53"/>
        <v>19.598631988787947</v>
      </c>
      <c r="N191" s="60">
        <f t="shared" si="53"/>
        <v>20.29257203339853</v>
      </c>
      <c r="O191" s="60">
        <f t="shared" si="53"/>
        <v>21.015065929240436</v>
      </c>
      <c r="P191" s="60">
        <f t="shared" si="53"/>
        <v>21.767295147177443</v>
      </c>
      <c r="Q191" s="60">
        <f t="shared" si="53"/>
        <v>22.55048786001781</v>
      </c>
      <c r="R191" s="60">
        <f t="shared" si="53"/>
        <v>23.365920655001442</v>
      </c>
      <c r="S191" s="60">
        <f t="shared" si="53"/>
        <v>24.214920303220733</v>
      </c>
      <c r="T191" s="60">
        <f t="shared" si="53"/>
        <v>25.098865587650977</v>
      </c>
      <c r="U191" s="60">
        <f t="shared" si="53"/>
        <v>26.019189191513995</v>
      </c>
      <c r="V191" s="60">
        <f t="shared" si="53"/>
        <v>26.97737964873771</v>
      </c>
      <c r="W191" s="60">
        <f t="shared" si="53"/>
        <v>27.97498335832414</v>
      </c>
      <c r="X191" s="60">
        <f t="shared" si="53"/>
        <v>29.013606664478466</v>
      </c>
      <c r="Y191" s="60">
        <f t="shared" si="53"/>
        <v>30.09491800440363</v>
      </c>
      <c r="Z191" s="60">
        <f t="shared" si="53"/>
        <v>31.220650125707742</v>
      </c>
      <c r="AA191" s="60">
        <f t="shared" si="53"/>
        <v>32.39260237542443</v>
      </c>
      <c r="AB191" s="61">
        <f t="shared" si="40"/>
        <v>14</v>
      </c>
    </row>
    <row r="192" spans="3:28" ht="13.5" thickBot="1">
      <c r="C192" s="62">
        <v>15</v>
      </c>
      <c r="D192" s="63">
        <f aca="true" t="shared" si="54" ref="D192:AA192">FV(D$177,$C192,,-D78)</f>
        <v>15.536547517616173</v>
      </c>
      <c r="E192" s="63">
        <f t="shared" si="54"/>
        <v>16.096895536999845</v>
      </c>
      <c r="F192" s="63">
        <f t="shared" si="54"/>
        <v>16.682137776957795</v>
      </c>
      <c r="G192" s="63">
        <f t="shared" si="54"/>
        <v>17.29341691620646</v>
      </c>
      <c r="H192" s="63">
        <f t="shared" si="54"/>
        <v>17.931926659924418</v>
      </c>
      <c r="I192" s="63">
        <f t="shared" si="54"/>
        <v>18.59891388669215</v>
      </c>
      <c r="J192" s="63">
        <f t="shared" si="54"/>
        <v>19.29568087863312</v>
      </c>
      <c r="K192" s="63">
        <f t="shared" si="54"/>
        <v>20.023587637672918</v>
      </c>
      <c r="L192" s="63">
        <f t="shared" si="54"/>
        <v>20.784054290914487</v>
      </c>
      <c r="M192" s="63">
        <f t="shared" si="54"/>
        <v>21.578563588227357</v>
      </c>
      <c r="N192" s="63">
        <f t="shared" si="54"/>
        <v>22.408663495235448</v>
      </c>
      <c r="O192" s="63">
        <f t="shared" si="54"/>
        <v>23.275969884994876</v>
      </c>
      <c r="P192" s="63">
        <f t="shared" si="54"/>
        <v>24.182169331743967</v>
      </c>
      <c r="Q192" s="63">
        <f t="shared" si="54"/>
        <v>25.129022010219064</v>
      </c>
      <c r="R192" s="63">
        <f t="shared" si="54"/>
        <v>26.118364704126552</v>
      </c>
      <c r="S192" s="63">
        <f t="shared" si="54"/>
        <v>27.152113927478396</v>
      </c>
      <c r="T192" s="63">
        <f t="shared" si="54"/>
        <v>28.23226916260132</v>
      </c>
      <c r="U192" s="63">
        <f t="shared" si="54"/>
        <v>29.360916218750255</v>
      </c>
      <c r="V192" s="63">
        <f t="shared" si="54"/>
        <v>30.54023071536779</v>
      </c>
      <c r="W192" s="63">
        <f t="shared" si="54"/>
        <v>31.772481694156554</v>
      </c>
      <c r="X192" s="63">
        <f t="shared" si="54"/>
        <v>33.06003536424871</v>
      </c>
      <c r="Y192" s="63">
        <f t="shared" si="54"/>
        <v>34.405358984888025</v>
      </c>
      <c r="Z192" s="63">
        <f t="shared" si="54"/>
        <v>35.811024890164134</v>
      </c>
      <c r="AA192" s="63">
        <f t="shared" si="54"/>
        <v>37.279714660475356</v>
      </c>
      <c r="AB192" s="64">
        <f t="shared" si="40"/>
        <v>15</v>
      </c>
    </row>
    <row r="193" spans="3:28" ht="13.5" thickTop="1">
      <c r="C193" s="59">
        <v>16</v>
      </c>
      <c r="D193" s="57">
        <f aca="true" t="shared" si="55" ref="D193:AA193">FV(D$177,$C193,,-D79)</f>
        <v>16.61423025520423</v>
      </c>
      <c r="E193" s="57">
        <f t="shared" si="55"/>
        <v>17.25786449236988</v>
      </c>
      <c r="F193" s="57">
        <f t="shared" si="55"/>
        <v>17.93236984361215</v>
      </c>
      <c r="G193" s="57">
        <f t="shared" si="55"/>
        <v>18.639285254530602</v>
      </c>
      <c r="H193" s="57">
        <f t="shared" si="55"/>
        <v>19.380224826422523</v>
      </c>
      <c r="I193" s="57">
        <f t="shared" si="55"/>
        <v>20.156881303292902</v>
      </c>
      <c r="J193" s="57">
        <f t="shared" si="55"/>
        <v>20.97102970938527</v>
      </c>
      <c r="K193" s="57">
        <f t="shared" si="55"/>
        <v>21.824531143179843</v>
      </c>
      <c r="L193" s="57">
        <f t="shared" si="55"/>
        <v>22.719336734005623</v>
      </c>
      <c r="M193" s="57">
        <f t="shared" si="55"/>
        <v>23.65749176763872</v>
      </c>
      <c r="N193" s="57">
        <f t="shared" si="55"/>
        <v>24.641139987473398</v>
      </c>
      <c r="O193" s="57">
        <f t="shared" si="55"/>
        <v>25.672528078094555</v>
      </c>
      <c r="P193" s="57">
        <f t="shared" si="55"/>
        <v>26.754010338307324</v>
      </c>
      <c r="Q193" s="57">
        <f t="shared" si="55"/>
        <v>27.888053550934394</v>
      </c>
      <c r="R193" s="57">
        <f t="shared" si="55"/>
        <v>29.07724205693604</v>
      </c>
      <c r="S193" s="57">
        <f t="shared" si="55"/>
        <v>30.324283041676665</v>
      </c>
      <c r="T193" s="57">
        <f t="shared" si="55"/>
        <v>31.632012041422424</v>
      </c>
      <c r="U193" s="57">
        <f t="shared" si="55"/>
        <v>33.00339867843778</v>
      </c>
      <c r="V193" s="57">
        <f t="shared" si="55"/>
        <v>34.44155263332774</v>
      </c>
      <c r="W193" s="57">
        <f t="shared" si="55"/>
        <v>35.94972986357221</v>
      </c>
      <c r="X193" s="57">
        <f t="shared" si="55"/>
        <v>37.53133907749481</v>
      </c>
      <c r="Y193" s="57">
        <f t="shared" si="55"/>
        <v>39.18994847322572</v>
      </c>
      <c r="Z193" s="57">
        <f t="shared" si="55"/>
        <v>40.929292752533016</v>
      </c>
      <c r="AA193" s="57">
        <f t="shared" si="55"/>
        <v>42.75328041973241</v>
      </c>
      <c r="AB193" s="58">
        <f t="shared" si="40"/>
        <v>16</v>
      </c>
    </row>
    <row r="194" spans="3:28" ht="12.75">
      <c r="C194" s="59">
        <v>17</v>
      </c>
      <c r="D194" s="60">
        <f aca="true" t="shared" si="56" ref="D194:AA194">FV(D$177,$C194,,-D80)</f>
        <v>17.697301406480246</v>
      </c>
      <c r="E194" s="60">
        <f t="shared" si="56"/>
        <v>18.430443137293583</v>
      </c>
      <c r="F194" s="60">
        <f t="shared" si="56"/>
        <v>19.201355391266322</v>
      </c>
      <c r="G194" s="60">
        <f t="shared" si="56"/>
        <v>20.01207095962122</v>
      </c>
      <c r="H194" s="60">
        <f t="shared" si="56"/>
        <v>20.86473044708308</v>
      </c>
      <c r="I194" s="60">
        <f t="shared" si="56"/>
        <v>21.76158774239169</v>
      </c>
      <c r="J194" s="60">
        <f t="shared" si="56"/>
        <v>22.705015749213754</v>
      </c>
      <c r="K194" s="60">
        <f t="shared" si="56"/>
        <v>23.697512388907036</v>
      </c>
      <c r="L194" s="60">
        <f t="shared" si="56"/>
        <v>24.741706887035875</v>
      </c>
      <c r="M194" s="60">
        <f t="shared" si="56"/>
        <v>25.84036635602066</v>
      </c>
      <c r="N194" s="60">
        <f t="shared" si="56"/>
        <v>26.996402686784432</v>
      </c>
      <c r="O194" s="60">
        <f t="shared" si="56"/>
        <v>28.212879762780236</v>
      </c>
      <c r="P194" s="60">
        <f t="shared" si="56"/>
        <v>29.493021010297298</v>
      </c>
      <c r="Q194" s="60">
        <f t="shared" si="56"/>
        <v>30.840217299499802</v>
      </c>
      <c r="R194" s="60">
        <f t="shared" si="56"/>
        <v>32.25803521120624</v>
      </c>
      <c r="S194" s="60">
        <f t="shared" si="56"/>
        <v>33.7502256850108</v>
      </c>
      <c r="T194" s="60">
        <f t="shared" si="56"/>
        <v>35.320733064943326</v>
      </c>
      <c r="U194" s="60">
        <f t="shared" si="56"/>
        <v>36.97370455949718</v>
      </c>
      <c r="V194" s="60">
        <f t="shared" si="56"/>
        <v>38.71350013349387</v>
      </c>
      <c r="W194" s="60">
        <f t="shared" si="56"/>
        <v>40.544702849929436</v>
      </c>
      <c r="X194" s="60">
        <f t="shared" si="56"/>
        <v>42.47212968063177</v>
      </c>
      <c r="Y194" s="60">
        <f t="shared" si="56"/>
        <v>44.50084280528055</v>
      </c>
      <c r="Z194" s="60">
        <f t="shared" si="56"/>
        <v>46.63616141907431</v>
      </c>
      <c r="AA194" s="60">
        <f t="shared" si="56"/>
        <v>48.883674070100305</v>
      </c>
      <c r="AB194" s="61">
        <f t="shared" si="40"/>
        <v>17</v>
      </c>
    </row>
    <row r="195" spans="3:28" ht="12.75">
      <c r="C195" s="59">
        <v>18</v>
      </c>
      <c r="D195" s="60">
        <f aca="true" t="shared" si="57" ref="D195:AA195">FV(D$177,$C195,,-D81)</f>
        <v>18.785787913512575</v>
      </c>
      <c r="E195" s="60">
        <f t="shared" si="57"/>
        <v>19.614747568666523</v>
      </c>
      <c r="F195" s="60">
        <f t="shared" si="57"/>
        <v>20.48937572213531</v>
      </c>
      <c r="G195" s="60">
        <f t="shared" si="57"/>
        <v>21.412312378813635</v>
      </c>
      <c r="H195" s="60">
        <f t="shared" si="57"/>
        <v>22.386348708260158</v>
      </c>
      <c r="I195" s="60">
        <f t="shared" si="57"/>
        <v>23.41443537466344</v>
      </c>
      <c r="J195" s="60">
        <f t="shared" si="57"/>
        <v>24.49969130043623</v>
      </c>
      <c r="K195" s="60">
        <f t="shared" si="57"/>
        <v>25.645412884463326</v>
      </c>
      <c r="L195" s="60">
        <f t="shared" si="57"/>
        <v>26.85508369695248</v>
      </c>
      <c r="M195" s="60">
        <f t="shared" si="57"/>
        <v>28.132384673821694</v>
      </c>
      <c r="N195" s="60">
        <f t="shared" si="57"/>
        <v>29.481204834557577</v>
      </c>
      <c r="O195" s="60">
        <f t="shared" si="57"/>
        <v>30.905652548547053</v>
      </c>
      <c r="P195" s="60">
        <f t="shared" si="57"/>
        <v>32.41006737596662</v>
      </c>
      <c r="Q195" s="60">
        <f t="shared" si="57"/>
        <v>33.99903251046479</v>
      </c>
      <c r="R195" s="60">
        <f t="shared" si="57"/>
        <v>35.67738785204671</v>
      </c>
      <c r="S195" s="60">
        <f t="shared" si="57"/>
        <v>37.45024373981167</v>
      </c>
      <c r="T195" s="60">
        <f t="shared" si="57"/>
        <v>39.32299537546351</v>
      </c>
      <c r="U195" s="60">
        <f t="shared" si="57"/>
        <v>41.301337969851936</v>
      </c>
      <c r="V195" s="60">
        <f t="shared" si="57"/>
        <v>43.391282646175796</v>
      </c>
      <c r="W195" s="60">
        <f t="shared" si="57"/>
        <v>45.599173134922374</v>
      </c>
      <c r="X195" s="60">
        <f t="shared" si="57"/>
        <v>47.9317032970981</v>
      </c>
      <c r="Y195" s="60">
        <f t="shared" si="57"/>
        <v>50.39593551386142</v>
      </c>
      <c r="Z195" s="60">
        <f t="shared" si="57"/>
        <v>52.99931998226786</v>
      </c>
      <c r="AA195" s="60">
        <f t="shared" si="57"/>
        <v>55.74971495851235</v>
      </c>
      <c r="AB195" s="61">
        <f t="shared" si="40"/>
        <v>18</v>
      </c>
    </row>
    <row r="196" spans="3:28" ht="12.75">
      <c r="C196" s="59">
        <v>19</v>
      </c>
      <c r="D196" s="60">
        <f aca="true" t="shared" si="58" ref="D196:AA196">FV(D$177,$C196,,-D82)</f>
        <v>19.87971685308012</v>
      </c>
      <c r="E196" s="60">
        <f t="shared" si="58"/>
        <v>20.810895044353163</v>
      </c>
      <c r="F196" s="60">
        <f t="shared" si="58"/>
        <v>21.796716357967334</v>
      </c>
      <c r="G196" s="60">
        <f t="shared" si="58"/>
        <v>22.840558626389907</v>
      </c>
      <c r="H196" s="60">
        <f t="shared" si="58"/>
        <v>23.946007425966663</v>
      </c>
      <c r="I196" s="60">
        <f t="shared" si="58"/>
        <v>25.116868435903342</v>
      </c>
      <c r="J196" s="60">
        <f t="shared" si="58"/>
        <v>26.357180495951493</v>
      </c>
      <c r="K196" s="60">
        <f t="shared" si="58"/>
        <v>27.671229399841856</v>
      </c>
      <c r="L196" s="60">
        <f t="shared" si="58"/>
        <v>29.06356246331534</v>
      </c>
      <c r="M196" s="60">
        <f t="shared" si="58"/>
        <v>30.53900390751278</v>
      </c>
      <c r="N196" s="60">
        <f t="shared" si="58"/>
        <v>32.10267110045824</v>
      </c>
      <c r="O196" s="60">
        <f t="shared" si="58"/>
        <v>33.759991701459874</v>
      </c>
      <c r="P196" s="60">
        <f t="shared" si="58"/>
        <v>35.51672175540445</v>
      </c>
      <c r="Q196" s="60">
        <f t="shared" si="58"/>
        <v>37.37896478619732</v>
      </c>
      <c r="R196" s="60">
        <f t="shared" si="58"/>
        <v>39.35319194095021</v>
      </c>
      <c r="S196" s="60">
        <f t="shared" si="58"/>
        <v>41.446263238996615</v>
      </c>
      <c r="T196" s="60">
        <f t="shared" si="58"/>
        <v>43.665449982377915</v>
      </c>
      <c r="U196" s="60">
        <f t="shared" si="58"/>
        <v>46.018458387138615</v>
      </c>
      <c r="V196" s="60">
        <f t="shared" si="58"/>
        <v>48.513454497562485</v>
      </c>
      <c r="W196" s="60">
        <f t="shared" si="58"/>
        <v>51.159090448414624</v>
      </c>
      <c r="X196" s="60">
        <f t="shared" si="58"/>
        <v>53.964532143293404</v>
      </c>
      <c r="Y196" s="60">
        <f t="shared" si="58"/>
        <v>56.939488420386176</v>
      </c>
      <c r="Z196" s="60">
        <f t="shared" si="58"/>
        <v>60.094241780228664</v>
      </c>
      <c r="AA196" s="60">
        <f t="shared" si="58"/>
        <v>63.439680753533835</v>
      </c>
      <c r="AB196" s="61">
        <f t="shared" si="40"/>
        <v>19</v>
      </c>
    </row>
    <row r="197" spans="3:28" ht="13.5" thickBot="1">
      <c r="C197" s="62">
        <v>20</v>
      </c>
      <c r="D197" s="63">
        <f aca="true" t="shared" si="59" ref="D197:AA197">FV(D$177,$C197,,-D83)</f>
        <v>20.979115437345495</v>
      </c>
      <c r="E197" s="63">
        <f t="shared" si="59"/>
        <v>22.0190039947967</v>
      </c>
      <c r="F197" s="63">
        <f t="shared" si="59"/>
        <v>23.123667103336814</v>
      </c>
      <c r="G197" s="63">
        <f t="shared" si="59"/>
        <v>24.29736979891771</v>
      </c>
      <c r="H197" s="63">
        <f t="shared" si="59"/>
        <v>25.544657611615822</v>
      </c>
      <c r="I197" s="63">
        <f t="shared" si="59"/>
        <v>26.870374488980442</v>
      </c>
      <c r="J197" s="63">
        <f t="shared" si="59"/>
        <v>28.27968181330979</v>
      </c>
      <c r="K197" s="63">
        <f t="shared" si="59"/>
        <v>29.77807857583553</v>
      </c>
      <c r="L197" s="63">
        <f t="shared" si="59"/>
        <v>31.371422774164515</v>
      </c>
      <c r="M197" s="63">
        <f t="shared" si="59"/>
        <v>33.06595410288841</v>
      </c>
      <c r="N197" s="63">
        <f t="shared" si="59"/>
        <v>34.868318010983444</v>
      </c>
      <c r="O197" s="63">
        <f t="shared" si="59"/>
        <v>36.78559120354747</v>
      </c>
      <c r="P197" s="63">
        <f t="shared" si="59"/>
        <v>38.82530866950573</v>
      </c>
      <c r="Q197" s="63">
        <f t="shared" si="59"/>
        <v>40.99549232123113</v>
      </c>
      <c r="R197" s="63">
        <f t="shared" si="59"/>
        <v>43.30468133652147</v>
      </c>
      <c r="S197" s="63">
        <f t="shared" si="59"/>
        <v>45.76196429811633</v>
      </c>
      <c r="T197" s="63">
        <f t="shared" si="59"/>
        <v>48.377013230880024</v>
      </c>
      <c r="U197" s="63">
        <f t="shared" si="59"/>
        <v>51.16011964198108</v>
      </c>
      <c r="V197" s="63">
        <f t="shared" si="59"/>
        <v>54.122232674830926</v>
      </c>
      <c r="W197" s="63">
        <f t="shared" si="59"/>
        <v>57.27499949325609</v>
      </c>
      <c r="X197" s="63">
        <f t="shared" si="59"/>
        <v>60.630808018339216</v>
      </c>
      <c r="Y197" s="63">
        <f t="shared" si="59"/>
        <v>64.20283214662867</v>
      </c>
      <c r="Z197" s="63">
        <f t="shared" si="59"/>
        <v>68.00507958495497</v>
      </c>
      <c r="AA197" s="63">
        <f t="shared" si="59"/>
        <v>72.05244244395789</v>
      </c>
      <c r="AB197" s="64">
        <f t="shared" si="40"/>
        <v>20</v>
      </c>
    </row>
    <row r="198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C197"/>
  <sheetViews>
    <sheetView workbookViewId="0" topLeftCell="A1">
      <selection activeCell="A53" sqref="A53"/>
    </sheetView>
  </sheetViews>
  <sheetFormatPr defaultColWidth="9.140625" defaultRowHeight="12.75"/>
  <cols>
    <col min="3" max="3" width="11.7109375" style="0" bestFit="1" customWidth="1"/>
    <col min="28" max="28" width="11.7109375" style="0" bestFit="1" customWidth="1"/>
  </cols>
  <sheetData>
    <row r="1" ht="15.75">
      <c r="A1" s="76" t="s">
        <v>48</v>
      </c>
    </row>
    <row r="2" spans="1:27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2"/>
      <c r="S2" s="52"/>
      <c r="T2" s="52"/>
      <c r="U2" s="52"/>
      <c r="V2" s="52"/>
      <c r="W2" s="52"/>
      <c r="X2" s="52"/>
      <c r="Y2" s="52"/>
      <c r="Z2" s="52"/>
      <c r="AA2" s="52"/>
    </row>
    <row r="4" ht="13.5" thickBot="1">
      <c r="A4" t="s">
        <v>38</v>
      </c>
    </row>
    <row r="5" spans="3:28" ht="17.25" thickBot="1" thickTop="1">
      <c r="C5" s="69" t="s">
        <v>41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</row>
    <row r="6" spans="3:29" s="27" customFormat="1" ht="14.25" thickBot="1" thickTop="1">
      <c r="C6" s="53" t="s">
        <v>40</v>
      </c>
      <c r="D6" s="54">
        <v>0.0025</v>
      </c>
      <c r="E6" s="54">
        <v>0.005</v>
      </c>
      <c r="F6" s="54">
        <v>0.0075</v>
      </c>
      <c r="G6" s="54">
        <v>0.01</v>
      </c>
      <c r="H6" s="54">
        <v>0.0125</v>
      </c>
      <c r="I6" s="54">
        <v>0.015</v>
      </c>
      <c r="J6" s="54">
        <v>0.0175</v>
      </c>
      <c r="K6" s="54">
        <v>0.02</v>
      </c>
      <c r="L6" s="54">
        <v>0.0225</v>
      </c>
      <c r="M6" s="54">
        <v>0.025</v>
      </c>
      <c r="N6" s="54">
        <v>0.0275</v>
      </c>
      <c r="O6" s="54">
        <v>0.03</v>
      </c>
      <c r="P6" s="54">
        <v>0.0325</v>
      </c>
      <c r="Q6" s="54">
        <v>0.035</v>
      </c>
      <c r="R6" s="54">
        <v>0.0375</v>
      </c>
      <c r="S6" s="54">
        <v>0.04</v>
      </c>
      <c r="T6" s="54">
        <v>0.0425</v>
      </c>
      <c r="U6" s="54">
        <v>0.045</v>
      </c>
      <c r="V6" s="54">
        <v>0.0475</v>
      </c>
      <c r="W6" s="54">
        <v>0.05</v>
      </c>
      <c r="X6" s="54">
        <v>0.0525</v>
      </c>
      <c r="Y6" s="54">
        <v>0.055</v>
      </c>
      <c r="Z6" s="54">
        <v>0.0575</v>
      </c>
      <c r="AA6" s="54">
        <v>0.06</v>
      </c>
      <c r="AB6" s="55" t="s">
        <v>39</v>
      </c>
      <c r="AC6" s="49"/>
    </row>
    <row r="7" spans="2:28" s="51" customFormat="1" ht="13.5" thickTop="1">
      <c r="B7" s="50">
        <v>1</v>
      </c>
      <c r="C7" s="56">
        <v>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8">
        <f>$C7</f>
        <v>1</v>
      </c>
    </row>
    <row r="8" spans="3:28" ht="13.5" thickBot="1">
      <c r="C8" s="59">
        <v>2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1">
        <f aca="true" t="shared" si="0" ref="AB8:AB56">$C8</f>
        <v>2</v>
      </c>
    </row>
    <row r="9" spans="3:28" ht="13.5" thickTop="1">
      <c r="C9" s="56">
        <v>3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>
        <f t="shared" si="0"/>
        <v>3</v>
      </c>
    </row>
    <row r="10" spans="3:28" ht="13.5" thickBot="1">
      <c r="C10" s="59">
        <v>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1">
        <f t="shared" si="0"/>
        <v>4</v>
      </c>
    </row>
    <row r="11" spans="3:28" ht="14.25" thickBot="1" thickTop="1">
      <c r="C11" s="56">
        <v>5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4">
        <f t="shared" si="0"/>
        <v>5</v>
      </c>
    </row>
    <row r="12" spans="3:28" ht="14.25" thickBot="1" thickTop="1">
      <c r="C12" s="59">
        <v>6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1">
        <f t="shared" si="0"/>
        <v>6</v>
      </c>
    </row>
    <row r="13" spans="3:28" ht="13.5" thickTop="1">
      <c r="C13" s="56">
        <v>7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>
        <f t="shared" si="0"/>
        <v>7</v>
      </c>
    </row>
    <row r="14" spans="3:28" ht="13.5" thickBot="1">
      <c r="C14" s="59">
        <v>8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>
        <f t="shared" si="0"/>
        <v>8</v>
      </c>
    </row>
    <row r="15" spans="3:28" ht="13.5" thickTop="1">
      <c r="C15" s="56">
        <v>9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>
        <f t="shared" si="0"/>
        <v>9</v>
      </c>
    </row>
    <row r="16" spans="3:28" ht="13.5" thickBot="1">
      <c r="C16" s="59">
        <v>10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>
        <f t="shared" si="0"/>
        <v>10</v>
      </c>
    </row>
    <row r="17" spans="3:28" ht="13.5" thickTop="1">
      <c r="C17" s="56">
        <v>11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>
        <f t="shared" si="0"/>
        <v>11</v>
      </c>
    </row>
    <row r="18" spans="3:28" ht="13.5" thickBot="1">
      <c r="C18" s="59">
        <v>12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>
        <f t="shared" si="0"/>
        <v>12</v>
      </c>
    </row>
    <row r="19" spans="3:28" ht="13.5" thickTop="1">
      <c r="C19" s="56">
        <v>13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>
        <f t="shared" si="0"/>
        <v>13</v>
      </c>
    </row>
    <row r="20" spans="3:28" ht="13.5" thickBot="1">
      <c r="C20" s="59">
        <v>14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1">
        <f t="shared" si="0"/>
        <v>14</v>
      </c>
    </row>
    <row r="21" spans="3:28" ht="14.25" thickBot="1" thickTop="1">
      <c r="C21" s="56">
        <v>15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4">
        <f t="shared" si="0"/>
        <v>15</v>
      </c>
    </row>
    <row r="22" spans="3:28" ht="14.25" thickBot="1" thickTop="1">
      <c r="C22" s="59">
        <v>16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>
        <f t="shared" si="0"/>
        <v>16</v>
      </c>
    </row>
    <row r="23" spans="3:28" ht="13.5" thickTop="1">
      <c r="C23" s="56">
        <v>17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>
        <f t="shared" si="0"/>
        <v>17</v>
      </c>
    </row>
    <row r="24" spans="3:28" ht="13.5" thickBot="1">
      <c r="C24" s="59">
        <v>18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>
        <f t="shared" si="0"/>
        <v>18</v>
      </c>
    </row>
    <row r="25" spans="3:28" ht="13.5" thickTop="1">
      <c r="C25" s="56">
        <v>19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1">
        <f t="shared" si="0"/>
        <v>19</v>
      </c>
    </row>
    <row r="26" spans="3:28" ht="13.5" thickBot="1">
      <c r="C26" s="59">
        <v>20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>
        <f t="shared" si="0"/>
        <v>20</v>
      </c>
    </row>
    <row r="27" spans="3:28" ht="13.5" thickTop="1">
      <c r="C27" s="56">
        <v>21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>
        <f t="shared" si="0"/>
        <v>21</v>
      </c>
    </row>
    <row r="28" spans="3:28" ht="13.5" thickBot="1">
      <c r="C28" s="59">
        <v>22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>
        <f t="shared" si="0"/>
        <v>22</v>
      </c>
    </row>
    <row r="29" spans="3:28" ht="13.5" thickTop="1">
      <c r="C29" s="56">
        <v>23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1">
        <f t="shared" si="0"/>
        <v>23</v>
      </c>
    </row>
    <row r="30" spans="3:28" ht="13.5" thickBot="1">
      <c r="C30" s="59">
        <v>24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>
        <f t="shared" si="0"/>
        <v>24</v>
      </c>
    </row>
    <row r="31" spans="3:28" ht="14.25" thickBot="1" thickTop="1">
      <c r="C31" s="56">
        <v>25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>
        <f t="shared" si="0"/>
        <v>25</v>
      </c>
    </row>
    <row r="32" spans="3:28" ht="14.25" thickBot="1" thickTop="1">
      <c r="C32" s="59">
        <v>26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1">
        <f t="shared" si="0"/>
        <v>26</v>
      </c>
    </row>
    <row r="33" spans="3:28" ht="13.5" thickTop="1">
      <c r="C33" s="56">
        <v>27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>
        <f t="shared" si="0"/>
        <v>27</v>
      </c>
    </row>
    <row r="34" spans="3:28" ht="13.5" thickBot="1">
      <c r="C34" s="59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1">
        <f t="shared" si="0"/>
        <v>28</v>
      </c>
    </row>
    <row r="35" spans="3:28" ht="13.5" thickTop="1">
      <c r="C35" s="56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>
        <f t="shared" si="0"/>
        <v>29</v>
      </c>
    </row>
    <row r="36" spans="3:28" ht="13.5" thickBot="1">
      <c r="C36" s="59">
        <v>30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4">
        <f t="shared" si="0"/>
        <v>30</v>
      </c>
    </row>
    <row r="37" spans="3:28" ht="13.5" thickTop="1">
      <c r="C37" s="56">
        <v>31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>
        <f t="shared" si="0"/>
        <v>31</v>
      </c>
    </row>
    <row r="38" spans="3:28" ht="12.75">
      <c r="C38" s="59">
        <v>32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>
        <f t="shared" si="0"/>
        <v>32</v>
      </c>
    </row>
    <row r="39" spans="3:28" ht="13.5" thickBot="1">
      <c r="C39" s="59">
        <v>33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>
        <f t="shared" si="0"/>
        <v>33</v>
      </c>
    </row>
    <row r="40" spans="3:28" ht="13.5" thickTop="1">
      <c r="C40" s="56">
        <v>34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>
        <f t="shared" si="0"/>
        <v>34</v>
      </c>
    </row>
    <row r="41" spans="3:28" ht="13.5" thickBot="1">
      <c r="C41" s="59">
        <v>35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>
        <f t="shared" si="0"/>
        <v>35</v>
      </c>
    </row>
    <row r="42" spans="3:28" ht="13.5" thickTop="1">
      <c r="C42" s="56">
        <v>36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>
        <f t="shared" si="0"/>
        <v>36</v>
      </c>
    </row>
    <row r="43" spans="3:28" ht="13.5" thickBot="1">
      <c r="C43" s="59">
        <v>37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>
        <f t="shared" si="0"/>
        <v>37</v>
      </c>
    </row>
    <row r="44" spans="3:28" ht="13.5" thickTop="1">
      <c r="C44" s="56">
        <v>38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>
        <f t="shared" si="0"/>
        <v>38</v>
      </c>
    </row>
    <row r="45" spans="3:28" ht="13.5" thickBot="1">
      <c r="C45" s="59">
        <v>39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>
        <f t="shared" si="0"/>
        <v>39</v>
      </c>
    </row>
    <row r="46" spans="3:28" ht="14.25" thickBot="1" thickTop="1">
      <c r="C46" s="56">
        <v>40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>
        <f t="shared" si="0"/>
        <v>40</v>
      </c>
    </row>
    <row r="47" spans="3:28" ht="14.25" thickBot="1" thickTop="1">
      <c r="C47" s="59">
        <v>41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>
        <f t="shared" si="0"/>
        <v>41</v>
      </c>
    </row>
    <row r="48" spans="3:28" ht="13.5" thickTop="1">
      <c r="C48" s="56">
        <v>42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>
        <f t="shared" si="0"/>
        <v>42</v>
      </c>
    </row>
    <row r="49" spans="3:28" ht="13.5" thickBot="1">
      <c r="C49" s="59">
        <v>43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>
        <f t="shared" si="0"/>
        <v>43</v>
      </c>
    </row>
    <row r="50" spans="3:28" ht="13.5" thickTop="1">
      <c r="C50" s="56">
        <v>44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>
        <f t="shared" si="0"/>
        <v>44</v>
      </c>
    </row>
    <row r="51" spans="3:28" ht="13.5" thickBot="1">
      <c r="C51" s="59">
        <v>45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>
        <f t="shared" si="0"/>
        <v>45</v>
      </c>
    </row>
    <row r="52" spans="3:28" ht="13.5" thickTop="1">
      <c r="C52" s="56">
        <v>46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>
        <f t="shared" si="0"/>
        <v>46</v>
      </c>
    </row>
    <row r="53" spans="3:28" ht="13.5" thickBot="1">
      <c r="C53" s="59">
        <v>47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>
        <f t="shared" si="0"/>
        <v>47</v>
      </c>
    </row>
    <row r="54" spans="3:28" ht="13.5" thickTop="1">
      <c r="C54" s="56">
        <v>48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>
        <f t="shared" si="0"/>
        <v>48</v>
      </c>
    </row>
    <row r="55" spans="3:28" ht="13.5" thickBot="1">
      <c r="C55" s="59">
        <v>49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>
        <f t="shared" si="0"/>
        <v>49</v>
      </c>
    </row>
    <row r="56" spans="3:28" ht="14.25" thickBot="1" thickTop="1">
      <c r="C56" s="56">
        <v>50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>
        <f t="shared" si="0"/>
        <v>50</v>
      </c>
    </row>
    <row r="57" ht="13.5" thickTop="1"/>
    <row r="59" spans="1:27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1" spans="1:3" ht="13.5" thickBot="1">
      <c r="A61" t="s">
        <v>44</v>
      </c>
      <c r="C61" s="65"/>
    </row>
    <row r="62" spans="3:28" ht="17.25" thickBot="1" thickTop="1">
      <c r="C62" s="66" t="s">
        <v>42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1" t="s">
        <v>7</v>
      </c>
    </row>
    <row r="63" spans="1:28" ht="14.25" thickBot="1" thickTop="1">
      <c r="A63" s="27"/>
      <c r="B63" s="27"/>
      <c r="C63" s="53" t="s">
        <v>40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8" t="s">
        <v>39</v>
      </c>
    </row>
    <row r="64" spans="1:28" ht="13.5" thickTop="1">
      <c r="A64" s="51"/>
      <c r="B64" s="50">
        <v>1</v>
      </c>
      <c r="C64" s="59">
        <v>1</v>
      </c>
      <c r="D64" s="60">
        <f>PV(D$63,$C64,-$B$64)</f>
        <v>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1">
        <f aca="true" t="shared" si="1" ref="AB64:AB112">$C64</f>
        <v>1</v>
      </c>
    </row>
    <row r="65" spans="3:28" ht="12.75">
      <c r="C65" s="59">
        <v>2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1">
        <f t="shared" si="1"/>
        <v>2</v>
      </c>
    </row>
    <row r="66" spans="3:28" ht="12.75">
      <c r="C66" s="59">
        <v>3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>
        <f t="shared" si="1"/>
        <v>3</v>
      </c>
    </row>
    <row r="67" spans="3:28" ht="12.75">
      <c r="C67" s="59">
        <v>4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1">
        <f t="shared" si="1"/>
        <v>4</v>
      </c>
    </row>
    <row r="68" spans="3:28" ht="13.5" thickBot="1">
      <c r="C68" s="72">
        <v>5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4">
        <f t="shared" si="1"/>
        <v>5</v>
      </c>
    </row>
    <row r="69" spans="3:28" ht="13.5" thickTop="1">
      <c r="C69" s="59">
        <v>6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>
        <f t="shared" si="1"/>
        <v>6</v>
      </c>
    </row>
    <row r="70" spans="3:28" ht="12.75">
      <c r="C70" s="59">
        <v>7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>
        <f t="shared" si="1"/>
        <v>7</v>
      </c>
    </row>
    <row r="71" spans="3:28" ht="12.75">
      <c r="C71" s="59">
        <v>8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>
        <f t="shared" si="1"/>
        <v>8</v>
      </c>
    </row>
    <row r="72" spans="3:28" ht="12.75">
      <c r="C72" s="59">
        <v>9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1">
        <f t="shared" si="1"/>
        <v>9</v>
      </c>
    </row>
    <row r="73" spans="3:28" ht="13.5" thickBot="1">
      <c r="C73" s="72">
        <v>10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4">
        <f t="shared" si="1"/>
        <v>10</v>
      </c>
    </row>
    <row r="74" spans="3:28" ht="13.5" thickTop="1">
      <c r="C74" s="59">
        <v>11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1">
        <f t="shared" si="1"/>
        <v>11</v>
      </c>
    </row>
    <row r="75" spans="3:28" ht="12.75">
      <c r="C75" s="59">
        <v>12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1">
        <f t="shared" si="1"/>
        <v>12</v>
      </c>
    </row>
    <row r="76" spans="3:28" ht="12.75">
      <c r="C76" s="59">
        <v>13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1">
        <f t="shared" si="1"/>
        <v>13</v>
      </c>
    </row>
    <row r="77" spans="3:28" ht="12.75">
      <c r="C77" s="59">
        <v>14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1">
        <f t="shared" si="1"/>
        <v>14</v>
      </c>
    </row>
    <row r="78" spans="3:28" ht="13.5" thickBot="1">
      <c r="C78" s="72">
        <v>15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4">
        <f t="shared" si="1"/>
        <v>15</v>
      </c>
    </row>
    <row r="79" spans="3:28" ht="13.5" thickTop="1">
      <c r="C79" s="59">
        <v>16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1">
        <f t="shared" si="1"/>
        <v>16</v>
      </c>
    </row>
    <row r="80" spans="3:28" ht="12.75">
      <c r="C80" s="59">
        <v>17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>
        <f t="shared" si="1"/>
        <v>17</v>
      </c>
    </row>
    <row r="81" spans="3:28" ht="12.75">
      <c r="C81" s="59">
        <v>18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1">
        <f t="shared" si="1"/>
        <v>18</v>
      </c>
    </row>
    <row r="82" spans="3:28" ht="12.75">
      <c r="C82" s="59">
        <v>19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1">
        <f t="shared" si="1"/>
        <v>19</v>
      </c>
    </row>
    <row r="83" spans="3:28" ht="13.5" thickBot="1">
      <c r="C83" s="72">
        <v>20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4">
        <f t="shared" si="1"/>
        <v>20</v>
      </c>
    </row>
    <row r="84" spans="3:28" ht="13.5" thickTop="1">
      <c r="C84" s="59">
        <v>21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1">
        <f t="shared" si="1"/>
        <v>21</v>
      </c>
    </row>
    <row r="85" spans="3:28" ht="12.75">
      <c r="C85" s="59">
        <v>22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1">
        <f t="shared" si="1"/>
        <v>22</v>
      </c>
    </row>
    <row r="86" spans="3:28" ht="12.75">
      <c r="C86" s="59">
        <v>23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1">
        <f t="shared" si="1"/>
        <v>23</v>
      </c>
    </row>
    <row r="87" spans="3:28" ht="12.75">
      <c r="C87" s="59">
        <v>24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1">
        <f t="shared" si="1"/>
        <v>24</v>
      </c>
    </row>
    <row r="88" spans="3:28" ht="13.5" thickBot="1">
      <c r="C88" s="72">
        <v>25</v>
      </c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4">
        <f t="shared" si="1"/>
        <v>25</v>
      </c>
    </row>
    <row r="89" spans="3:28" ht="13.5" thickTop="1">
      <c r="C89" s="59">
        <v>26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1">
        <f t="shared" si="1"/>
        <v>26</v>
      </c>
    </row>
    <row r="90" spans="3:28" ht="12.75">
      <c r="C90" s="59">
        <v>27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1">
        <f t="shared" si="1"/>
        <v>27</v>
      </c>
    </row>
    <row r="91" spans="3:28" ht="12.75">
      <c r="C91" s="59">
        <v>28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1">
        <f t="shared" si="1"/>
        <v>28</v>
      </c>
    </row>
    <row r="92" spans="3:28" ht="12.75">
      <c r="C92" s="59">
        <v>29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1">
        <f t="shared" si="1"/>
        <v>29</v>
      </c>
    </row>
    <row r="93" spans="3:28" ht="13.5" thickBot="1">
      <c r="C93" s="72">
        <v>30</v>
      </c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4">
        <f t="shared" si="1"/>
        <v>30</v>
      </c>
    </row>
    <row r="94" spans="3:28" ht="13.5" thickTop="1">
      <c r="C94" s="59">
        <v>31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1">
        <f t="shared" si="1"/>
        <v>31</v>
      </c>
    </row>
    <row r="95" spans="3:28" ht="12.75">
      <c r="C95" s="59">
        <v>32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1">
        <f t="shared" si="1"/>
        <v>32</v>
      </c>
    </row>
    <row r="96" spans="3:28" ht="12.75">
      <c r="C96" s="59">
        <v>33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1">
        <f t="shared" si="1"/>
        <v>33</v>
      </c>
    </row>
    <row r="97" spans="3:28" ht="12.75">
      <c r="C97" s="59">
        <v>34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1">
        <f t="shared" si="1"/>
        <v>34</v>
      </c>
    </row>
    <row r="98" spans="3:28" ht="13.5" thickBot="1">
      <c r="C98" s="72">
        <v>35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4">
        <f t="shared" si="1"/>
        <v>35</v>
      </c>
    </row>
    <row r="99" spans="3:28" ht="13.5" thickTop="1">
      <c r="C99" s="59">
        <v>36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1">
        <f t="shared" si="1"/>
        <v>36</v>
      </c>
    </row>
    <row r="100" spans="3:28" ht="12.75">
      <c r="C100" s="59">
        <v>37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1">
        <f t="shared" si="1"/>
        <v>37</v>
      </c>
    </row>
    <row r="101" spans="3:28" ht="12.75">
      <c r="C101" s="59">
        <v>38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1">
        <f t="shared" si="1"/>
        <v>38</v>
      </c>
    </row>
    <row r="102" spans="3:28" ht="12.75">
      <c r="C102" s="59">
        <v>39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1">
        <f t="shared" si="1"/>
        <v>39</v>
      </c>
    </row>
    <row r="103" spans="3:28" ht="13.5" thickBot="1">
      <c r="C103" s="72">
        <v>40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4">
        <f t="shared" si="1"/>
        <v>40</v>
      </c>
    </row>
    <row r="104" spans="3:28" ht="13.5" thickTop="1">
      <c r="C104" s="59">
        <v>41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1">
        <f t="shared" si="1"/>
        <v>41</v>
      </c>
    </row>
    <row r="105" spans="3:28" ht="12.75">
      <c r="C105" s="59">
        <v>42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1">
        <f t="shared" si="1"/>
        <v>42</v>
      </c>
    </row>
    <row r="106" spans="3:28" ht="12.75">
      <c r="C106" s="59">
        <v>43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1">
        <f t="shared" si="1"/>
        <v>43</v>
      </c>
    </row>
    <row r="107" spans="3:28" ht="12.75">
      <c r="C107" s="59">
        <v>44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1">
        <f t="shared" si="1"/>
        <v>44</v>
      </c>
    </row>
    <row r="108" spans="3:28" ht="13.5" thickBot="1">
      <c r="C108" s="72">
        <v>45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4">
        <f t="shared" si="1"/>
        <v>45</v>
      </c>
    </row>
    <row r="109" spans="3:28" ht="13.5" thickTop="1">
      <c r="C109" s="59">
        <v>46</v>
      </c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1">
        <f t="shared" si="1"/>
        <v>46</v>
      </c>
    </row>
    <row r="110" spans="3:28" ht="12.75">
      <c r="C110" s="59">
        <v>47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1">
        <f t="shared" si="1"/>
        <v>47</v>
      </c>
    </row>
    <row r="111" spans="3:28" ht="12.75">
      <c r="C111" s="59">
        <v>48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1">
        <f t="shared" si="1"/>
        <v>48</v>
      </c>
    </row>
    <row r="112" spans="3:28" ht="12.75">
      <c r="C112" s="59">
        <v>49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1">
        <f t="shared" si="1"/>
        <v>49</v>
      </c>
    </row>
    <row r="113" spans="3:28" ht="13.5" thickBot="1">
      <c r="C113" s="72">
        <v>50</v>
      </c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5">
        <f>$C113</f>
        <v>50</v>
      </c>
    </row>
    <row r="114" ht="13.5" thickTop="1"/>
    <row r="116" spans="1:28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</row>
    <row r="118" ht="13.5" thickBot="1">
      <c r="A118" t="s">
        <v>43</v>
      </c>
    </row>
    <row r="119" spans="3:28" ht="17.25" thickBot="1" thickTop="1">
      <c r="C119" s="69" t="s">
        <v>45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8"/>
    </row>
    <row r="120" spans="1:28" ht="14.25" thickBot="1" thickTop="1">
      <c r="A120" s="27"/>
      <c r="B120" s="27"/>
      <c r="C120" s="53" t="s">
        <v>40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5" t="s">
        <v>39</v>
      </c>
    </row>
    <row r="121" spans="1:28" ht="13.5" thickTop="1">
      <c r="A121" s="51"/>
      <c r="B121" s="50">
        <v>1</v>
      </c>
      <c r="C121" s="56">
        <v>1</v>
      </c>
      <c r="D121" s="57">
        <f>FV(D$120,$C121,,-$B$121)</f>
        <v>1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8">
        <f>$C121</f>
        <v>1</v>
      </c>
    </row>
    <row r="122" spans="3:28" ht="12.75">
      <c r="C122" s="59">
        <v>2</v>
      </c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1">
        <f aca="true" t="shared" si="2" ref="AB122:AB170">$C122</f>
        <v>2</v>
      </c>
    </row>
    <row r="123" spans="3:28" ht="12.75">
      <c r="C123" s="59">
        <v>3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1">
        <f t="shared" si="2"/>
        <v>3</v>
      </c>
    </row>
    <row r="124" spans="3:28" ht="12.75">
      <c r="C124" s="59">
        <v>4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1">
        <f t="shared" si="2"/>
        <v>4</v>
      </c>
    </row>
    <row r="125" spans="3:28" ht="13.5" thickBot="1">
      <c r="C125" s="62">
        <v>5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4">
        <f t="shared" si="2"/>
        <v>5</v>
      </c>
    </row>
    <row r="126" spans="3:28" ht="13.5" thickTop="1">
      <c r="C126" s="59">
        <v>6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1">
        <f t="shared" si="2"/>
        <v>6</v>
      </c>
    </row>
    <row r="127" spans="3:28" ht="12.75">
      <c r="C127" s="59">
        <v>7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1">
        <f t="shared" si="2"/>
        <v>7</v>
      </c>
    </row>
    <row r="128" spans="3:28" ht="12.75">
      <c r="C128" s="59">
        <v>8</v>
      </c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1">
        <f t="shared" si="2"/>
        <v>8</v>
      </c>
    </row>
    <row r="129" spans="3:28" ht="12.75">
      <c r="C129" s="59">
        <v>9</v>
      </c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1">
        <f t="shared" si="2"/>
        <v>9</v>
      </c>
    </row>
    <row r="130" spans="3:28" ht="13.5" thickBot="1">
      <c r="C130" s="62">
        <v>10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4">
        <f t="shared" si="2"/>
        <v>10</v>
      </c>
    </row>
    <row r="131" spans="3:28" ht="13.5" thickTop="1">
      <c r="C131" s="59">
        <v>11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1">
        <f t="shared" si="2"/>
        <v>11</v>
      </c>
    </row>
    <row r="132" spans="3:28" ht="12.75">
      <c r="C132" s="59">
        <v>12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1">
        <f t="shared" si="2"/>
        <v>12</v>
      </c>
    </row>
    <row r="133" spans="3:28" ht="12.75">
      <c r="C133" s="59">
        <v>13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1">
        <f t="shared" si="2"/>
        <v>13</v>
      </c>
    </row>
    <row r="134" spans="3:28" ht="12.75">
      <c r="C134" s="59">
        <v>14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1">
        <f t="shared" si="2"/>
        <v>14</v>
      </c>
    </row>
    <row r="135" spans="3:28" ht="13.5" thickBot="1">
      <c r="C135" s="62">
        <v>15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4">
        <f t="shared" si="2"/>
        <v>15</v>
      </c>
    </row>
    <row r="136" spans="3:28" ht="13.5" thickTop="1">
      <c r="C136" s="59">
        <v>16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1">
        <f t="shared" si="2"/>
        <v>16</v>
      </c>
    </row>
    <row r="137" spans="3:28" ht="12.75">
      <c r="C137" s="59">
        <v>17</v>
      </c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1">
        <f t="shared" si="2"/>
        <v>17</v>
      </c>
    </row>
    <row r="138" spans="3:28" ht="12.75">
      <c r="C138" s="59">
        <v>18</v>
      </c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>
        <f t="shared" si="2"/>
        <v>18</v>
      </c>
    </row>
    <row r="139" spans="3:28" ht="12.75">
      <c r="C139" s="59">
        <v>19</v>
      </c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1">
        <f t="shared" si="2"/>
        <v>19</v>
      </c>
    </row>
    <row r="140" spans="3:28" ht="13.5" thickBot="1">
      <c r="C140" s="62">
        <v>20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4">
        <f t="shared" si="2"/>
        <v>20</v>
      </c>
    </row>
    <row r="141" spans="3:28" ht="13.5" thickTop="1">
      <c r="C141" s="59">
        <v>21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1">
        <f t="shared" si="2"/>
        <v>21</v>
      </c>
    </row>
    <row r="142" spans="3:28" ht="12.75">
      <c r="C142" s="59">
        <v>22</v>
      </c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1">
        <f t="shared" si="2"/>
        <v>22</v>
      </c>
    </row>
    <row r="143" spans="3:28" ht="12.75">
      <c r="C143" s="59">
        <v>23</v>
      </c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1">
        <f t="shared" si="2"/>
        <v>23</v>
      </c>
    </row>
    <row r="144" spans="3:28" ht="12.75">
      <c r="C144" s="59">
        <v>24</v>
      </c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1">
        <f t="shared" si="2"/>
        <v>24</v>
      </c>
    </row>
    <row r="145" spans="3:28" ht="13.5" thickBot="1">
      <c r="C145" s="62">
        <v>25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>
        <f t="shared" si="2"/>
        <v>25</v>
      </c>
    </row>
    <row r="146" spans="3:28" ht="13.5" thickTop="1">
      <c r="C146" s="59">
        <v>26</v>
      </c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1">
        <f t="shared" si="2"/>
        <v>26</v>
      </c>
    </row>
    <row r="147" spans="3:28" ht="12.75">
      <c r="C147" s="59">
        <v>27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1">
        <f t="shared" si="2"/>
        <v>27</v>
      </c>
    </row>
    <row r="148" spans="3:28" ht="12.75">
      <c r="C148" s="59">
        <v>28</v>
      </c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1">
        <f t="shared" si="2"/>
        <v>28</v>
      </c>
    </row>
    <row r="149" spans="3:28" ht="12.75">
      <c r="C149" s="59">
        <v>29</v>
      </c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1">
        <f t="shared" si="2"/>
        <v>29</v>
      </c>
    </row>
    <row r="150" spans="3:28" ht="13.5" thickBot="1">
      <c r="C150" s="62">
        <v>30</v>
      </c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>
        <f t="shared" si="2"/>
        <v>30</v>
      </c>
    </row>
    <row r="151" spans="3:28" ht="13.5" thickTop="1">
      <c r="C151" s="59">
        <v>31</v>
      </c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1">
        <f t="shared" si="2"/>
        <v>31</v>
      </c>
    </row>
    <row r="152" spans="3:28" ht="12.75">
      <c r="C152" s="59">
        <v>32</v>
      </c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1">
        <f t="shared" si="2"/>
        <v>32</v>
      </c>
    </row>
    <row r="153" spans="3:28" ht="12.75">
      <c r="C153" s="59">
        <v>33</v>
      </c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1">
        <f t="shared" si="2"/>
        <v>33</v>
      </c>
    </row>
    <row r="154" spans="3:28" ht="12.75">
      <c r="C154" s="59">
        <v>34</v>
      </c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1">
        <f t="shared" si="2"/>
        <v>34</v>
      </c>
    </row>
    <row r="155" spans="3:28" ht="13.5" thickBot="1">
      <c r="C155" s="62">
        <v>35</v>
      </c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>
        <f t="shared" si="2"/>
        <v>35</v>
      </c>
    </row>
    <row r="156" spans="3:28" ht="13.5" thickTop="1">
      <c r="C156" s="59">
        <v>36</v>
      </c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1">
        <f t="shared" si="2"/>
        <v>36</v>
      </c>
    </row>
    <row r="157" spans="3:28" ht="12.75">
      <c r="C157" s="59">
        <v>37</v>
      </c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1">
        <f t="shared" si="2"/>
        <v>37</v>
      </c>
    </row>
    <row r="158" spans="3:28" ht="12.75">
      <c r="C158" s="59">
        <v>38</v>
      </c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1">
        <f t="shared" si="2"/>
        <v>38</v>
      </c>
    </row>
    <row r="159" spans="3:28" ht="12.75">
      <c r="C159" s="59">
        <v>39</v>
      </c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1">
        <f t="shared" si="2"/>
        <v>39</v>
      </c>
    </row>
    <row r="160" spans="3:28" ht="13.5" thickBot="1">
      <c r="C160" s="62">
        <v>40</v>
      </c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>
        <f t="shared" si="2"/>
        <v>40</v>
      </c>
    </row>
    <row r="161" spans="3:28" ht="13.5" thickTop="1">
      <c r="C161" s="59">
        <v>41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1">
        <f t="shared" si="2"/>
        <v>41</v>
      </c>
    </row>
    <row r="162" spans="3:28" ht="12.75">
      <c r="C162" s="59">
        <v>42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1">
        <f t="shared" si="2"/>
        <v>42</v>
      </c>
    </row>
    <row r="163" spans="3:28" ht="12.75">
      <c r="C163" s="59">
        <v>43</v>
      </c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1">
        <f t="shared" si="2"/>
        <v>43</v>
      </c>
    </row>
    <row r="164" spans="3:28" ht="12.75">
      <c r="C164" s="59">
        <v>44</v>
      </c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1">
        <f t="shared" si="2"/>
        <v>44</v>
      </c>
    </row>
    <row r="165" spans="3:28" ht="13.5" thickBot="1">
      <c r="C165" s="62">
        <v>45</v>
      </c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4">
        <f t="shared" si="2"/>
        <v>45</v>
      </c>
    </row>
    <row r="166" spans="3:28" ht="13.5" thickTop="1">
      <c r="C166" s="59">
        <v>46</v>
      </c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1">
        <f t="shared" si="2"/>
        <v>46</v>
      </c>
    </row>
    <row r="167" spans="3:28" ht="12.75">
      <c r="C167" s="59">
        <v>47</v>
      </c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1">
        <f t="shared" si="2"/>
        <v>47</v>
      </c>
    </row>
    <row r="168" spans="3:28" ht="12.75">
      <c r="C168" s="59">
        <v>48</v>
      </c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1">
        <f t="shared" si="2"/>
        <v>48</v>
      </c>
    </row>
    <row r="169" spans="3:28" ht="12.75">
      <c r="C169" s="59">
        <v>49</v>
      </c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1">
        <f t="shared" si="2"/>
        <v>49</v>
      </c>
    </row>
    <row r="170" spans="3:28" ht="13.5" thickBot="1">
      <c r="C170" s="62">
        <v>50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4">
        <f t="shared" si="2"/>
        <v>50</v>
      </c>
    </row>
    <row r="171" ht="13.5" thickTop="1"/>
    <row r="173" spans="1:28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5" ht="12" customHeight="1" thickBot="1">
      <c r="A175" t="s">
        <v>46</v>
      </c>
    </row>
    <row r="176" spans="3:28" ht="17.25" thickBot="1" thickTop="1">
      <c r="C176" s="66" t="s">
        <v>47</v>
      </c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8"/>
    </row>
    <row r="177" spans="1:28" ht="14.25" thickBot="1" thickTop="1">
      <c r="A177" s="27"/>
      <c r="B177" s="27"/>
      <c r="C177" s="53" t="s">
        <v>40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5" t="s">
        <v>39</v>
      </c>
    </row>
    <row r="178" spans="1:28" ht="13.5" thickTop="1">
      <c r="A178" s="51"/>
      <c r="B178" s="50">
        <v>1</v>
      </c>
      <c r="C178" s="56">
        <v>1</v>
      </c>
      <c r="D178" s="57">
        <f>FV(D$177,$C178,,-D64)</f>
        <v>1</v>
      </c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8">
        <f aca="true" t="shared" si="3" ref="AB178:AB197">$C178</f>
        <v>1</v>
      </c>
    </row>
    <row r="179" spans="3:28" ht="12.75">
      <c r="C179" s="59">
        <v>2</v>
      </c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1">
        <f t="shared" si="3"/>
        <v>2</v>
      </c>
    </row>
    <row r="180" spans="3:28" ht="12.75">
      <c r="C180" s="59">
        <v>3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1">
        <f t="shared" si="3"/>
        <v>3</v>
      </c>
    </row>
    <row r="181" spans="3:28" ht="12.75">
      <c r="C181" s="59">
        <v>4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1">
        <f t="shared" si="3"/>
        <v>4</v>
      </c>
    </row>
    <row r="182" spans="3:28" ht="13.5" thickBot="1">
      <c r="C182" s="62">
        <v>5</v>
      </c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4">
        <f t="shared" si="3"/>
        <v>5</v>
      </c>
    </row>
    <row r="183" spans="3:28" ht="13.5" thickTop="1">
      <c r="C183" s="59">
        <v>6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8">
        <f t="shared" si="3"/>
        <v>6</v>
      </c>
    </row>
    <row r="184" spans="3:28" ht="12.75">
      <c r="C184" s="59">
        <v>7</v>
      </c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1">
        <f t="shared" si="3"/>
        <v>7</v>
      </c>
    </row>
    <row r="185" spans="3:28" ht="12.75">
      <c r="C185" s="59">
        <v>8</v>
      </c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1">
        <f t="shared" si="3"/>
        <v>8</v>
      </c>
    </row>
    <row r="186" spans="3:28" ht="12.75">
      <c r="C186" s="59">
        <v>9</v>
      </c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1">
        <f t="shared" si="3"/>
        <v>9</v>
      </c>
    </row>
    <row r="187" spans="3:28" ht="13.5" thickBot="1">
      <c r="C187" s="62">
        <v>10</v>
      </c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4">
        <f t="shared" si="3"/>
        <v>10</v>
      </c>
    </row>
    <row r="188" spans="3:28" ht="13.5" thickTop="1">
      <c r="C188" s="59">
        <v>11</v>
      </c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8">
        <f t="shared" si="3"/>
        <v>11</v>
      </c>
    </row>
    <row r="189" spans="3:28" ht="12.75">
      <c r="C189" s="59">
        <v>12</v>
      </c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1">
        <f t="shared" si="3"/>
        <v>12</v>
      </c>
    </row>
    <row r="190" spans="3:28" ht="12.75">
      <c r="C190" s="59">
        <v>13</v>
      </c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1">
        <f t="shared" si="3"/>
        <v>13</v>
      </c>
    </row>
    <row r="191" spans="3:28" ht="12.75">
      <c r="C191" s="59">
        <v>14</v>
      </c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1">
        <f t="shared" si="3"/>
        <v>14</v>
      </c>
    </row>
    <row r="192" spans="3:28" ht="13.5" thickBot="1">
      <c r="C192" s="62">
        <v>15</v>
      </c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4">
        <f t="shared" si="3"/>
        <v>15</v>
      </c>
    </row>
    <row r="193" spans="3:28" ht="13.5" thickTop="1">
      <c r="C193" s="59">
        <v>16</v>
      </c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8">
        <f t="shared" si="3"/>
        <v>16</v>
      </c>
    </row>
    <row r="194" spans="3:28" ht="12.75">
      <c r="C194" s="59">
        <v>17</v>
      </c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1">
        <f t="shared" si="3"/>
        <v>17</v>
      </c>
    </row>
    <row r="195" spans="3:28" ht="12.75">
      <c r="C195" s="59">
        <v>18</v>
      </c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1">
        <f t="shared" si="3"/>
        <v>18</v>
      </c>
    </row>
    <row r="196" spans="3:28" ht="12.75">
      <c r="C196" s="59">
        <v>19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1">
        <f t="shared" si="3"/>
        <v>19</v>
      </c>
    </row>
    <row r="197" spans="3:28" ht="13.5" thickBot="1">
      <c r="C197" s="62">
        <v>20</v>
      </c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4">
        <f t="shared" si="3"/>
        <v>20</v>
      </c>
    </row>
    <row r="198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rjensen</dc:creator>
  <cp:keywords/>
  <dc:description/>
  <cp:lastModifiedBy>rjensen</cp:lastModifiedBy>
  <dcterms:created xsi:type="dcterms:W3CDTF">2001-03-05T18:55:30Z</dcterms:created>
  <dcterms:modified xsi:type="dcterms:W3CDTF">2001-10-30T19:30:40Z</dcterms:modified>
  <cp:category/>
  <cp:version/>
  <cp:contentType/>
  <cp:contentStatus/>
</cp:coreProperties>
</file>