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2"/>
  </bookViews>
  <sheets>
    <sheet name="Exercises" sheetId="1" r:id="rId1"/>
    <sheet name="BKS 61" sheetId="2" r:id="rId2"/>
    <sheet name="Downpayment" sheetId="3" r:id="rId3"/>
    <sheet name="No Downpayment" sheetId="4" r:id="rId4"/>
  </sheets>
  <definedNames/>
  <calcPr fullCalcOnLoad="1"/>
</workbook>
</file>

<file path=xl/comments1.xml><?xml version="1.0" encoding="utf-8"?>
<comments xmlns="http://schemas.openxmlformats.org/spreadsheetml/2006/main">
  <authors>
    <author>rjensen</author>
  </authors>
  <commentList>
    <comment ref="C127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$2,000,000 - $1,000,000</t>
        </r>
      </text>
    </comment>
    <comment ref="C123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$2,000,000 + $200,000</t>
        </r>
      </text>
    </comment>
    <comment ref="D123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$2,000,000 + $200,000</t>
        </r>
      </text>
    </comment>
    <comment ref="C124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Revenues                                      $4,000,000
Expenses
     Variable at 75%    $3,000,000
     Fixed                      </t>
        </r>
        <r>
          <rPr>
            <u val="single"/>
            <sz val="8"/>
            <rFont val="Tahoma"/>
            <family val="2"/>
          </rPr>
          <t xml:space="preserve">    800,000   3,800,000
</t>
        </r>
        <r>
          <rPr>
            <sz val="8"/>
            <rFont val="Tahoma"/>
            <family val="2"/>
          </rPr>
          <t xml:space="preserve">Net cash flow                                 </t>
        </r>
        <r>
          <rPr>
            <u val="single"/>
            <sz val="8"/>
            <rFont val="Tahoma"/>
            <family val="2"/>
          </rPr>
          <t>$   200,000</t>
        </r>
      </text>
    </comment>
    <comment ref="C125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Revenues                                      $4,000,000
Expenses
     Variable at 75%    $3,000,000
     Fixed                      </t>
        </r>
        <r>
          <rPr>
            <u val="single"/>
            <sz val="8"/>
            <rFont val="Tahoma"/>
            <family val="2"/>
          </rPr>
          <t xml:space="preserve">    800,000   3,800,000
</t>
        </r>
        <r>
          <rPr>
            <sz val="8"/>
            <rFont val="Tahoma"/>
            <family val="2"/>
          </rPr>
          <t xml:space="preserve">Net cash flow                                 </t>
        </r>
        <r>
          <rPr>
            <u val="single"/>
            <sz val="8"/>
            <rFont val="Tahoma"/>
            <family val="2"/>
          </rPr>
          <t>$   200,000</t>
        </r>
      </text>
    </comment>
    <comment ref="C126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Revenues                                      $6,000,000
Expenses
     Variable at 75%    $4,500,000
     Fixed                      </t>
        </r>
        <r>
          <rPr>
            <u val="single"/>
            <sz val="8"/>
            <rFont val="Tahoma"/>
            <family val="2"/>
          </rPr>
          <t xml:space="preserve">    800,000   5,300,000
</t>
        </r>
        <r>
          <rPr>
            <sz val="8"/>
            <rFont val="Tahoma"/>
            <family val="2"/>
          </rPr>
          <t xml:space="preserve">Net cash flow                                 </t>
        </r>
        <r>
          <rPr>
            <u val="single"/>
            <sz val="8"/>
            <rFont val="Tahoma"/>
            <family val="2"/>
          </rPr>
          <t>$   700,000</t>
        </r>
      </text>
    </comment>
    <comment ref="D125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Revenues                                      $4,400,000
Expenses
     Variable at 70%    $3,080,000
     Fixed                      </t>
        </r>
        <r>
          <rPr>
            <u val="single"/>
            <sz val="8"/>
            <rFont val="Tahoma"/>
            <family val="2"/>
          </rPr>
          <t xml:space="preserve">    800,000   3,880,000
</t>
        </r>
        <r>
          <rPr>
            <sz val="8"/>
            <rFont val="Tahoma"/>
            <family val="2"/>
          </rPr>
          <t xml:space="preserve">Net cash flow                                 </t>
        </r>
        <r>
          <rPr>
            <u val="single"/>
            <sz val="8"/>
            <rFont val="Tahoma"/>
            <family val="2"/>
          </rPr>
          <t>$   520,000</t>
        </r>
      </text>
    </comment>
    <comment ref="D126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Revenues                                      $7,000,000
Expenses
     Variable at 70%    $4,900,000
     Fixed                      </t>
        </r>
        <r>
          <rPr>
            <u val="single"/>
            <sz val="8"/>
            <rFont val="Tahoma"/>
            <family val="2"/>
          </rPr>
          <t xml:space="preserve">    800,000   5,700,000
</t>
        </r>
        <r>
          <rPr>
            <sz val="8"/>
            <rFont val="Tahoma"/>
            <family val="2"/>
          </rPr>
          <t xml:space="preserve">Net cash flow                                 </t>
        </r>
        <r>
          <rPr>
            <u val="single"/>
            <sz val="8"/>
            <rFont val="Tahoma"/>
            <family val="2"/>
          </rPr>
          <t>$1,300,000</t>
        </r>
      </text>
    </comment>
    <comment ref="D127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$2,000,000 - $700,000</t>
        </r>
      </text>
    </comment>
    <comment ref="D124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Revenues                                      $4,400,000
Expenses
     Variable at 70%    $3,080,000
     Fixed                      </t>
        </r>
        <r>
          <rPr>
            <u val="single"/>
            <sz val="8"/>
            <rFont val="Tahoma"/>
            <family val="2"/>
          </rPr>
          <t xml:space="preserve">    800,000   3,880,000
</t>
        </r>
        <r>
          <rPr>
            <sz val="8"/>
            <rFont val="Tahoma"/>
            <family val="2"/>
          </rPr>
          <t xml:space="preserve">Net cash flow                                 </t>
        </r>
        <r>
          <rPr>
            <u val="single"/>
            <sz val="8"/>
            <rFont val="Tahoma"/>
            <family val="2"/>
          </rPr>
          <t>$   520,000</t>
        </r>
      </text>
    </comment>
  </commentList>
</comments>
</file>

<file path=xl/sharedStrings.xml><?xml version="1.0" encoding="utf-8"?>
<sst xmlns="http://schemas.openxmlformats.org/spreadsheetml/2006/main" count="271" uniqueCount="98">
  <si>
    <t>Cash Flow</t>
  </si>
  <si>
    <t>Period</t>
  </si>
  <si>
    <t>NPV</t>
  </si>
  <si>
    <t>IRR</t>
  </si>
  <si>
    <t>Payback</t>
  </si>
  <si>
    <t>Rate</t>
  </si>
  <si>
    <t>periods</t>
  </si>
  <si>
    <t>Profitability Index =</t>
  </si>
  <si>
    <t>Annuity factor on Page 358</t>
  </si>
  <si>
    <t>BKS Example on Pages 351 and 354</t>
  </si>
  <si>
    <t>BKS Example on Page 358</t>
  </si>
  <si>
    <t>Page 358</t>
  </si>
  <si>
    <t>Bottom of</t>
  </si>
  <si>
    <t>Residual factor on Page 358</t>
  </si>
  <si>
    <t>BKS Example on Page 376</t>
  </si>
  <si>
    <t>Years</t>
  </si>
  <si>
    <t>Introduction</t>
  </si>
  <si>
    <t>Value</t>
  </si>
  <si>
    <t>= Discount Rate</t>
  </si>
  <si>
    <t xml:space="preserve"> </t>
  </si>
  <si>
    <t>PV</t>
  </si>
  <si>
    <t>=PV</t>
  </si>
  <si>
    <t>=PV         NPV =</t>
  </si>
  <si>
    <t>=FV         NFV =</t>
  </si>
  <si>
    <t>=(x){[(1+r)^t-1)]/r}</t>
  </si>
  <si>
    <t>Calculator</t>
  </si>
  <si>
    <t>Formulas</t>
  </si>
  <si>
    <t>=(x){1+[1-(1+r)^(-n)]/r}</t>
  </si>
  <si>
    <t>Must have a negative cash flow included</t>
  </si>
  <si>
    <t>BKS Exercise 34 on Page 378</t>
  </si>
  <si>
    <t>BKS Exercise 33 on Page 378</t>
  </si>
  <si>
    <t>BKS Exercise 35 on Page 378</t>
  </si>
  <si>
    <t>Under the Truth in Lending legislation, the store indicates that the APR is 9.12%.  What should the cash price be for the system</t>
  </si>
  <si>
    <t xml:space="preserve"> if the financing deal is completely truthful?</t>
  </si>
  <si>
    <t>…</t>
  </si>
  <si>
    <t>RATE</t>
  </si>
  <si>
    <t xml:space="preserve"> Suppose that you find a deal for a home entertainment system that requires no down payment and $563 per month for 38 months.  </t>
  </si>
  <si>
    <t>3.  When must you use the NPV function rather than the PV function?</t>
  </si>
  <si>
    <t>4.  When must you use the IRR function rather than the RATE function?</t>
  </si>
  <si>
    <t>Hint:  Use the PV function rather than the NPV function in this case to avoid having to type out the $563 payments 38 times</t>
  </si>
  <si>
    <t xml:space="preserve"> in the spreadsheet.</t>
  </si>
  <si>
    <t>given that cash price of the system without financing payments over time?</t>
  </si>
  <si>
    <t>Hint:  Use the RATE function rather than the IRR function to avoid having to type out the $563 payments 38 times</t>
  </si>
  <si>
    <t>BKS Exercise 61 on Page 388</t>
  </si>
  <si>
    <t>Tax Shield</t>
  </si>
  <si>
    <t>Depreciation</t>
  </si>
  <si>
    <t>Interest</t>
  </si>
  <si>
    <t>Expense</t>
  </si>
  <si>
    <t xml:space="preserve">Loan </t>
  </si>
  <si>
    <t>Payments</t>
  </si>
  <si>
    <t xml:space="preserve">Finance </t>
  </si>
  <si>
    <t>Internally</t>
  </si>
  <si>
    <t>Bank</t>
  </si>
  <si>
    <t>Loan</t>
  </si>
  <si>
    <t>Lease</t>
  </si>
  <si>
    <t>Alternative</t>
  </si>
  <si>
    <t>Rate =</t>
  </si>
  <si>
    <t>Leasing</t>
  </si>
  <si>
    <t>Cash Flows</t>
  </si>
  <si>
    <t>NPV =</t>
  </si>
  <si>
    <t>Net</t>
  </si>
  <si>
    <t xml:space="preserve">Metrohealth should employ the cost of debt of 6.00% (which represents the after-tax effect of a the 10% incremental </t>
  </si>
  <si>
    <t>borrowing rate) as a discount rate in calculating NPV for all three financing alternatives.</t>
  </si>
  <si>
    <t>Cost of capital or hurdle rates aply to investment decisions but not to financing decisions.  This application is a financing decision. </t>
  </si>
  <si>
    <t xml:space="preserve"> Incremental cost of debt is the basic rate used for discounting in financing decisions, because the assumption made is that the </t>
  </si>
  <si>
    <t xml:space="preserve">firm would have no idle cash available for funding and would have to borrow from an ouside lending insituion at the invremental </t>
  </si>
  <si>
    <t>borrowing rate (which is given as 10%).</t>
  </si>
  <si>
    <t>BKS Exercise 51 on Page 382</t>
  </si>
  <si>
    <t>Pessimistic</t>
  </si>
  <si>
    <t>Otimistic</t>
  </si>
  <si>
    <t>= Expected NPV</t>
  </si>
  <si>
    <t xml:space="preserve">            Probability =</t>
  </si>
  <si>
    <t xml:space="preserve">  Profitability Index =</t>
  </si>
  <si>
    <t>Part b</t>
  </si>
  <si>
    <t>Acct 5342 Practice Problem</t>
  </si>
  <si>
    <t xml:space="preserve">               Dr. Jensen</t>
  </si>
  <si>
    <t>Your Name ______________________________</t>
  </si>
  <si>
    <t>Your CLS 344 Computer Number ____________</t>
  </si>
  <si>
    <t>Part 1</t>
  </si>
  <si>
    <t xml:space="preserve">Suppose that you find a deal for a HDTV television that requires a $800 down payment plus $56 per </t>
  </si>
  <si>
    <t xml:space="preserve">month for 38 months.  Under the Truth in Lending legislation, the dealer indicates that the APR is 9.12%.  </t>
  </si>
  <si>
    <t>What should the cash price be for the TV set if the financing deal is completely truthful?</t>
  </si>
  <si>
    <t xml:space="preserve">Hint:  Use the PV function rather than the NPV function in this case to avoid having to type out the $56 </t>
  </si>
  <si>
    <t>payments 38 times (APR Rate) in the spreadsheet.</t>
  </si>
  <si>
    <t>Part 2</t>
  </si>
  <si>
    <r>
      <t xml:space="preserve">Suppose that the cash price of the television mentioned above is $2,199.  </t>
    </r>
    <r>
      <rPr>
        <b/>
        <sz val="10"/>
        <rFont val="Arial"/>
        <family val="2"/>
      </rPr>
      <t xml:space="preserve">What is the financing charge </t>
    </r>
  </si>
  <si>
    <t>(an APR Rate) given the $2,199 price of the car without financing payments over time?</t>
  </si>
  <si>
    <t>Hint:  Use the RATE function rather than the IRR function to avoid having to type out the $56</t>
  </si>
  <si>
    <t xml:space="preserve"> payments 38 times in the spreadsheet.</t>
  </si>
  <si>
    <t>Rate/Month</t>
  </si>
  <si>
    <t>Place Part 1 Answers Here</t>
  </si>
  <si>
    <t>Place Part 2 Answers Here</t>
  </si>
  <si>
    <t>Cash Price</t>
  </si>
  <si>
    <t>Loan Amt.</t>
  </si>
  <si>
    <t>Correct Price</t>
  </si>
  <si>
    <t>APR RATE</t>
  </si>
  <si>
    <t xml:space="preserve">2.  Suppose that the cash price of the entertainment system mentioned above is $15,000.  What is the financing charge APR </t>
  </si>
  <si>
    <t>Loan Amount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</si>
</sst>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_);[Red]\(&quot;$&quot;#,##0.0\)"/>
    <numFmt numFmtId="166" formatCode="&quot;$&quot;#,##0.0_);\(&quot;$&quot;#,##0.0\)"/>
    <numFmt numFmtId="167" formatCode="#,##0.0000_);[Red]\(#,##0.0000\)"/>
    <numFmt numFmtId="168" formatCode="0.0000%"/>
    <numFmt numFmtId="169" formatCode="&quot;$&quot;#,##0.0000"/>
    <numFmt numFmtId="170" formatCode="&quot;$&quot;#,##0.0000_);[Red]\(&quot;$&quot;#,##0.0000\)"/>
    <numFmt numFmtId="171" formatCode="&quot;$&quot;#,##0.000_);[Red]\(&quot;$&quot;#,##0.000\)"/>
    <numFmt numFmtId="172" formatCode="&quot;$&quot;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_);[Red]\(#,##0.000\)"/>
    <numFmt numFmtId="177" formatCode="#,##0.0_);[Red]\(#,##0.0\)"/>
  </numFmts>
  <fonts count="9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0" fontId="0" fillId="0" borderId="0" xfId="0" applyNumberFormat="1" applyAlignment="1">
      <alignment/>
    </xf>
    <xf numFmtId="4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8" fontId="1" fillId="0" borderId="3" xfId="0" applyNumberFormat="1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6" fontId="0" fillId="0" borderId="7" xfId="0" applyNumberFormat="1" applyBorder="1" applyAlignment="1">
      <alignment/>
    </xf>
    <xf numFmtId="6" fontId="0" fillId="0" borderId="8" xfId="0" applyNumberFormat="1" applyBorder="1" applyAlignment="1">
      <alignment/>
    </xf>
    <xf numFmtId="6" fontId="0" fillId="0" borderId="0" xfId="0" applyNumberFormat="1" applyAlignment="1">
      <alignment/>
    </xf>
    <xf numFmtId="6" fontId="0" fillId="0" borderId="9" xfId="0" applyNumberFormat="1" applyBorder="1" applyAlignment="1">
      <alignment/>
    </xf>
    <xf numFmtId="6" fontId="0" fillId="0" borderId="3" xfId="0" applyNumberFormat="1" applyBorder="1" applyAlignment="1">
      <alignment/>
    </xf>
    <xf numFmtId="5" fontId="1" fillId="0" borderId="9" xfId="0" applyNumberFormat="1" applyFont="1" applyBorder="1" applyAlignment="1">
      <alignment/>
    </xf>
    <xf numFmtId="0" fontId="0" fillId="2" borderId="0" xfId="0" applyFill="1" applyAlignment="1">
      <alignment/>
    </xf>
    <xf numFmtId="167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3" xfId="0" applyBorder="1" applyAlignment="1">
      <alignment horizontal="center"/>
    </xf>
    <xf numFmtId="6" fontId="0" fillId="0" borderId="6" xfId="0" applyNumberFormat="1" applyBorder="1" applyAlignment="1">
      <alignment/>
    </xf>
    <xf numFmtId="40" fontId="0" fillId="2" borderId="0" xfId="0" applyNumberFormat="1" applyFill="1" applyAlignment="1">
      <alignment/>
    </xf>
    <xf numFmtId="0" fontId="0" fillId="0" borderId="0" xfId="0" applyFill="1" applyAlignment="1">
      <alignment/>
    </xf>
    <xf numFmtId="40" fontId="0" fillId="0" borderId="0" xfId="0" applyNumberFormat="1" applyFill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70" fontId="0" fillId="0" borderId="9" xfId="0" applyNumberFormat="1" applyBorder="1" applyAlignment="1">
      <alignment/>
    </xf>
    <xf numFmtId="170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6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 quotePrefix="1">
      <alignment/>
    </xf>
    <xf numFmtId="40" fontId="0" fillId="0" borderId="6" xfId="0" applyNumberFormat="1" applyBorder="1" applyAlignment="1">
      <alignment/>
    </xf>
    <xf numFmtId="6" fontId="0" fillId="0" borderId="7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center"/>
    </xf>
    <xf numFmtId="40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6" fontId="0" fillId="0" borderId="17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8" xfId="0" applyFill="1" applyBorder="1" applyAlignment="1">
      <alignment/>
    </xf>
    <xf numFmtId="6" fontId="0" fillId="0" borderId="18" xfId="0" applyNumberFormat="1" applyBorder="1" applyAlignment="1">
      <alignment/>
    </xf>
    <xf numFmtId="6" fontId="0" fillId="0" borderId="14" xfId="0" applyNumberFormat="1" applyBorder="1" applyAlignment="1">
      <alignment/>
    </xf>
    <xf numFmtId="0" fontId="0" fillId="0" borderId="16" xfId="0" applyBorder="1" applyAlignment="1">
      <alignment horizontal="center"/>
    </xf>
    <xf numFmtId="172" fontId="0" fillId="0" borderId="16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0" borderId="19" xfId="0" applyBorder="1" applyAlignment="1">
      <alignment horizontal="center"/>
    </xf>
    <xf numFmtId="6" fontId="0" fillId="0" borderId="19" xfId="0" applyNumberFormat="1" applyBorder="1" applyAlignment="1">
      <alignment/>
    </xf>
    <xf numFmtId="6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10" fontId="0" fillId="0" borderId="22" xfId="0" applyNumberForma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right"/>
    </xf>
    <xf numFmtId="6" fontId="0" fillId="0" borderId="0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6" fontId="0" fillId="0" borderId="25" xfId="0" applyNumberFormat="1" applyBorder="1" applyAlignment="1">
      <alignment/>
    </xf>
    <xf numFmtId="6" fontId="0" fillId="0" borderId="22" xfId="0" applyNumberFormat="1" applyBorder="1" applyAlignment="1" quotePrefix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6" fontId="0" fillId="0" borderId="7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6" fontId="0" fillId="0" borderId="8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6" fontId="0" fillId="0" borderId="12" xfId="0" applyNumberFormat="1" applyBorder="1" applyAlignment="1">
      <alignment/>
    </xf>
    <xf numFmtId="0" fontId="0" fillId="0" borderId="25" xfId="0" applyBorder="1" applyAlignment="1">
      <alignment/>
    </xf>
    <xf numFmtId="6" fontId="0" fillId="0" borderId="23" xfId="0" applyNumberFormat="1" applyBorder="1" applyAlignment="1">
      <alignment/>
    </xf>
    <xf numFmtId="10" fontId="0" fillId="0" borderId="23" xfId="0" applyNumberFormat="1" applyBorder="1" applyAlignment="1">
      <alignment/>
    </xf>
    <xf numFmtId="8" fontId="0" fillId="0" borderId="0" xfId="0" applyNumberFormat="1" applyAlignment="1">
      <alignment/>
    </xf>
    <xf numFmtId="3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workbookViewId="0" topLeftCell="A1">
      <selection activeCell="F124" sqref="F124"/>
    </sheetView>
  </sheetViews>
  <sheetFormatPr defaultColWidth="9.140625" defaultRowHeight="12.75"/>
  <cols>
    <col min="3" max="3" width="14.00390625" style="0" bestFit="1" customWidth="1"/>
    <col min="4" max="4" width="14.00390625" style="0" customWidth="1"/>
    <col min="5" max="5" width="10.7109375" style="0" bestFit="1" customWidth="1"/>
    <col min="6" max="6" width="12.7109375" style="0" bestFit="1" customWidth="1"/>
    <col min="7" max="7" width="11.7109375" style="0" bestFit="1" customWidth="1"/>
    <col min="9" max="9" width="12.28125" style="0" bestFit="1" customWidth="1"/>
    <col min="10" max="10" width="11.28125" style="0" bestFit="1" customWidth="1"/>
    <col min="13" max="13" width="14.00390625" style="0" bestFit="1" customWidth="1"/>
    <col min="16" max="16" width="11.28125" style="0" bestFit="1" customWidth="1"/>
  </cols>
  <sheetData>
    <row r="1" ht="12.75">
      <c r="A1" t="s">
        <v>16</v>
      </c>
    </row>
    <row r="2" spans="5:15" ht="12.75">
      <c r="E2" s="4"/>
      <c r="O2" t="s">
        <v>25</v>
      </c>
    </row>
    <row r="3" spans="2:15" ht="13.5" thickBot="1">
      <c r="B3" s="28" t="s">
        <v>19</v>
      </c>
      <c r="C3" s="1">
        <v>0.1</v>
      </c>
      <c r="D3" s="1"/>
      <c r="E3" s="30" t="s">
        <v>18</v>
      </c>
      <c r="O3" t="s">
        <v>26</v>
      </c>
    </row>
    <row r="4" spans="2:14" ht="13.5" thickBot="1">
      <c r="B4" s="8" t="s">
        <v>1</v>
      </c>
      <c r="C4" s="9" t="s">
        <v>0</v>
      </c>
      <c r="D4" s="9"/>
      <c r="E4" s="11" t="s">
        <v>17</v>
      </c>
      <c r="G4" s="10" t="s">
        <v>0</v>
      </c>
      <c r="H4" s="11" t="s">
        <v>17</v>
      </c>
      <c r="J4" s="33" t="s">
        <v>0</v>
      </c>
      <c r="K4" s="34" t="s">
        <v>17</v>
      </c>
      <c r="L4" s="34" t="s">
        <v>17</v>
      </c>
      <c r="N4" s="34" t="s">
        <v>17</v>
      </c>
    </row>
    <row r="5" spans="2:16" ht="12.75">
      <c r="B5" s="5">
        <v>0</v>
      </c>
      <c r="C5" s="12">
        <v>0</v>
      </c>
      <c r="D5" s="12"/>
      <c r="E5" s="31">
        <f>(C6)*(1/((1+$C$3)^$B6))</f>
        <v>0.9090909090909091</v>
      </c>
      <c r="G5" s="15">
        <v>0</v>
      </c>
      <c r="H5" s="31">
        <f>(G7)*(1/((1+$C$3)^$B7))</f>
        <v>0.8264462809917354</v>
      </c>
      <c r="J5" s="35">
        <v>0</v>
      </c>
      <c r="K5" s="36">
        <f>E5+H5</f>
        <v>1.7355371900826446</v>
      </c>
      <c r="L5" s="29">
        <f>PV(C3,B7,-C6)</f>
        <v>1.735537190082646</v>
      </c>
      <c r="M5" s="37" t="s">
        <v>22</v>
      </c>
      <c r="N5" s="29">
        <f>NPV(C3,1,1)</f>
        <v>1.7355371900826446</v>
      </c>
      <c r="O5">
        <f>(G7)*((1-(1+C3)^(-B7)))/C3</f>
        <v>1.7355371900826455</v>
      </c>
      <c r="P5" s="38" t="s">
        <v>27</v>
      </c>
    </row>
    <row r="6" spans="2:11" ht="12.75">
      <c r="B6" s="5">
        <v>1</v>
      </c>
      <c r="C6" s="12">
        <v>1</v>
      </c>
      <c r="D6" s="12"/>
      <c r="E6" s="31">
        <f>E5*((1+$C$3)^$B6)</f>
        <v>1</v>
      </c>
      <c r="G6" s="15">
        <v>0</v>
      </c>
      <c r="H6" s="31">
        <f>H5*((1+$C$3)^$B6)</f>
        <v>0.9090909090909091</v>
      </c>
      <c r="J6" s="35">
        <v>1</v>
      </c>
      <c r="K6" s="36">
        <f>K5*((1+$C$3)^$B6)</f>
        <v>1.9090909090909092</v>
      </c>
    </row>
    <row r="7" spans="2:16" ht="12.75">
      <c r="B7" s="5">
        <v>2</v>
      </c>
      <c r="C7" s="12">
        <v>0</v>
      </c>
      <c r="D7" s="12"/>
      <c r="E7" s="31"/>
      <c r="G7" s="15">
        <v>1</v>
      </c>
      <c r="H7" s="31">
        <f>H5*((1+$C$3)^$B7)</f>
        <v>1</v>
      </c>
      <c r="J7" s="35">
        <v>1</v>
      </c>
      <c r="K7" s="36">
        <f>K5*((1+$C$3)^$B7)</f>
        <v>2.1000000000000005</v>
      </c>
      <c r="L7" s="29">
        <f>FV(C3,B7,-C6)</f>
        <v>2.100000000000002</v>
      </c>
      <c r="M7" s="37" t="s">
        <v>23</v>
      </c>
      <c r="N7" s="29">
        <f>FV(C3,B7,0,-N5)</f>
        <v>2.1000000000000005</v>
      </c>
      <c r="O7" s="29">
        <f>(G7)*(((1+C3)^B7-1))/C3</f>
        <v>2.100000000000002</v>
      </c>
      <c r="P7" s="38" t="s">
        <v>24</v>
      </c>
    </row>
    <row r="8" spans="2:11" ht="13.5" thickBot="1">
      <c r="B8" s="6">
        <v>3</v>
      </c>
      <c r="C8" s="13">
        <v>0</v>
      </c>
      <c r="D8" s="13"/>
      <c r="E8" s="32"/>
      <c r="G8" s="16">
        <v>0</v>
      </c>
      <c r="H8" s="32"/>
      <c r="J8" s="35">
        <v>0</v>
      </c>
      <c r="K8" s="36"/>
    </row>
    <row r="13" ht="13.5" thickBot="1">
      <c r="A13" t="s">
        <v>9</v>
      </c>
    </row>
    <row r="14" spans="2:17" ht="13.5" thickBot="1">
      <c r="B14" s="8" t="s">
        <v>1</v>
      </c>
      <c r="C14" s="9" t="s">
        <v>0</v>
      </c>
      <c r="D14" s="33"/>
      <c r="E14" s="4" t="s">
        <v>5</v>
      </c>
      <c r="G14" s="10" t="s">
        <v>0</v>
      </c>
      <c r="H14" s="4" t="s">
        <v>5</v>
      </c>
      <c r="J14" s="10" t="s">
        <v>0</v>
      </c>
      <c r="K14" s="4" t="s">
        <v>5</v>
      </c>
      <c r="M14" s="11" t="s">
        <v>0</v>
      </c>
      <c r="N14" s="4" t="s">
        <v>5</v>
      </c>
      <c r="P14" s="10" t="s">
        <v>0</v>
      </c>
      <c r="Q14" s="4" t="s">
        <v>5</v>
      </c>
    </row>
    <row r="15" spans="2:17" ht="12.75">
      <c r="B15" s="5">
        <v>0</v>
      </c>
      <c r="C15" s="12">
        <v>-2400000</v>
      </c>
      <c r="D15" s="35"/>
      <c r="E15" s="1">
        <v>0.1</v>
      </c>
      <c r="G15" s="15">
        <v>-2400000</v>
      </c>
      <c r="H15" s="1">
        <v>0.1</v>
      </c>
      <c r="J15" s="15">
        <v>-2400000</v>
      </c>
      <c r="K15" s="3">
        <f>C24</f>
        <v>0.17379794113683164</v>
      </c>
      <c r="M15" s="17">
        <v>-3008288.17</v>
      </c>
      <c r="N15" s="1">
        <v>0.1</v>
      </c>
      <c r="P15" s="15">
        <v>-2400000</v>
      </c>
      <c r="Q15" s="3">
        <v>0.14</v>
      </c>
    </row>
    <row r="16" spans="2:16" ht="12.75">
      <c r="B16" s="5">
        <v>1</v>
      </c>
      <c r="C16" s="12">
        <v>600000</v>
      </c>
      <c r="D16" s="35"/>
      <c r="G16" s="15">
        <v>600000</v>
      </c>
      <c r="J16" s="15">
        <v>600000</v>
      </c>
      <c r="M16" s="15">
        <v>600000</v>
      </c>
      <c r="P16" s="15">
        <v>600000</v>
      </c>
    </row>
    <row r="17" spans="2:16" ht="12.75">
      <c r="B17" s="5">
        <v>2</v>
      </c>
      <c r="C17" s="12">
        <v>600000</v>
      </c>
      <c r="D17" s="35"/>
      <c r="G17" s="15">
        <v>600000</v>
      </c>
      <c r="J17" s="15">
        <v>600000</v>
      </c>
      <c r="M17" s="15">
        <v>600000</v>
      </c>
      <c r="P17" s="15">
        <v>600000</v>
      </c>
    </row>
    <row r="18" spans="2:16" ht="12.75">
      <c r="B18" s="5">
        <v>3</v>
      </c>
      <c r="C18" s="12">
        <v>600000</v>
      </c>
      <c r="D18" s="35"/>
      <c r="G18" s="15">
        <v>600000</v>
      </c>
      <c r="J18" s="15">
        <v>600000</v>
      </c>
      <c r="M18" s="15">
        <v>600000</v>
      </c>
      <c r="P18" s="15">
        <v>600000</v>
      </c>
    </row>
    <row r="19" spans="2:16" ht="12.75">
      <c r="B19" s="5">
        <v>4</v>
      </c>
      <c r="C19" s="12">
        <v>600000</v>
      </c>
      <c r="D19" s="35"/>
      <c r="G19" s="15">
        <v>600000</v>
      </c>
      <c r="J19" s="15">
        <v>600000</v>
      </c>
      <c r="M19" s="15">
        <v>600000</v>
      </c>
      <c r="P19" s="15">
        <v>600000</v>
      </c>
    </row>
    <row r="20" spans="2:16" ht="12.75">
      <c r="B20" s="5">
        <v>5</v>
      </c>
      <c r="C20" s="12">
        <v>600000</v>
      </c>
      <c r="D20" s="35"/>
      <c r="G20" s="15">
        <v>600000</v>
      </c>
      <c r="J20" s="15">
        <v>600000</v>
      </c>
      <c r="M20" s="15">
        <v>600000</v>
      </c>
      <c r="P20" s="15">
        <v>600000</v>
      </c>
    </row>
    <row r="21" spans="2:16" ht="13.5" thickBot="1">
      <c r="B21" s="6">
        <v>6</v>
      </c>
      <c r="C21" s="13">
        <v>1300000</v>
      </c>
      <c r="D21" s="35"/>
      <c r="G21" s="7">
        <v>222380.4</v>
      </c>
      <c r="J21" s="16">
        <v>1300000</v>
      </c>
      <c r="M21" s="16">
        <v>1300000</v>
      </c>
      <c r="P21" s="16">
        <v>1300000</v>
      </c>
    </row>
    <row r="22" spans="2:17" ht="12.75">
      <c r="B22" t="s">
        <v>4</v>
      </c>
      <c r="C22" s="2">
        <f>ABS(C15)/C16</f>
        <v>4</v>
      </c>
      <c r="D22" s="2"/>
      <c r="E22" t="s">
        <v>6</v>
      </c>
      <c r="G22" s="2">
        <f>ABS(G15)/G16</f>
        <v>4</v>
      </c>
      <c r="H22" t="s">
        <v>6</v>
      </c>
      <c r="J22" s="2">
        <f>ABS(J15)/J16</f>
        <v>4</v>
      </c>
      <c r="K22" t="s">
        <v>6</v>
      </c>
      <c r="M22" s="2">
        <f>ABS(M15)/M16</f>
        <v>5.013813616666667</v>
      </c>
      <c r="N22" t="s">
        <v>6</v>
      </c>
      <c r="P22" s="2">
        <f>ABS(P15)/P16</f>
        <v>4</v>
      </c>
      <c r="Q22" t="s">
        <v>6</v>
      </c>
    </row>
    <row r="23" spans="2:16" ht="12.75">
      <c r="B23" t="s">
        <v>2</v>
      </c>
      <c r="C23" s="14">
        <f>C15+NPV(E15,C16:C21)</f>
        <v>608288.1707149786</v>
      </c>
      <c r="D23" s="14"/>
      <c r="G23" s="14">
        <f>G15+NPV(H15,G16:G21)</f>
        <v>0</v>
      </c>
      <c r="J23" s="14">
        <f>J15+NPV(K15,J16:J21)</f>
        <v>0</v>
      </c>
      <c r="M23" s="14">
        <f>M15+NPV(N15,M16:M21)</f>
        <v>0.0007149786688387394</v>
      </c>
      <c r="P23" s="14">
        <f>P15+NPV(Q15,P16:P21)</f>
        <v>252111.09330433886</v>
      </c>
    </row>
    <row r="24" spans="2:16" ht="12.75">
      <c r="B24" t="s">
        <v>3</v>
      </c>
      <c r="C24" s="1">
        <f>IRR(C15:C21)</f>
        <v>0.17379794113683164</v>
      </c>
      <c r="D24" s="1"/>
      <c r="G24" s="1">
        <f>IRR(G15:G21)</f>
        <v>0.10000000000000002</v>
      </c>
      <c r="J24" s="1">
        <f>IRR(J15:J21)</f>
        <v>0.17379794113683164</v>
      </c>
      <c r="M24" s="1">
        <f>IRR(M15:M21)</f>
        <v>0.1000000000728589</v>
      </c>
      <c r="P24" s="1">
        <f>IRR(P15:P21)</f>
        <v>0.17379794113683164</v>
      </c>
    </row>
    <row r="25" spans="1:16" ht="12.75">
      <c r="A25" t="s">
        <v>7</v>
      </c>
      <c r="C25" s="2">
        <f>NPV(E15,C16:C21)/ABS(C15)</f>
        <v>1.2534534044645744</v>
      </c>
      <c r="D25" s="2"/>
      <c r="G25" s="2">
        <f>NPV(H15,G16:G21)/ABS(G15)</f>
        <v>0.9999999999999998</v>
      </c>
      <c r="J25" s="2">
        <f>NPV(K15,J16:J21)/ABS(J15)</f>
        <v>1.0000000000000004</v>
      </c>
      <c r="M25" s="2">
        <f>NPV(N15,M16:M21)/ABS(M15)</f>
        <v>1.0000000002376697</v>
      </c>
      <c r="P25" s="2">
        <f>NPV(Q15,P16:P21)/ABS(P15)</f>
        <v>1.1050462888768078</v>
      </c>
    </row>
    <row r="26" spans="3:13" ht="12.75">
      <c r="C26" s="2"/>
      <c r="D26" s="2"/>
      <c r="G26" s="2"/>
      <c r="J26" s="2"/>
      <c r="M26" s="2"/>
    </row>
    <row r="27" spans="1:17" ht="12.75">
      <c r="A27" s="18"/>
      <c r="B27" s="18"/>
      <c r="C27" s="24"/>
      <c r="D27" s="24"/>
      <c r="E27" s="18"/>
      <c r="F27" s="18"/>
      <c r="G27" s="24"/>
      <c r="H27" s="18"/>
      <c r="I27" s="18"/>
      <c r="J27" s="24"/>
      <c r="K27" s="18"/>
      <c r="L27" s="18"/>
      <c r="M27" s="24"/>
      <c r="N27" s="18"/>
      <c r="O27" s="18"/>
      <c r="P27" s="18"/>
      <c r="Q27" s="18"/>
    </row>
    <row r="28" spans="1:17" ht="13.5" thickBot="1">
      <c r="A28" s="25"/>
      <c r="B28" s="25"/>
      <c r="C28" s="26"/>
      <c r="D28" s="26"/>
      <c r="E28" s="25"/>
      <c r="F28" s="25"/>
      <c r="G28" s="26"/>
      <c r="H28" s="25"/>
      <c r="I28" s="25"/>
      <c r="J28" s="26"/>
      <c r="K28" s="25"/>
      <c r="L28" s="25"/>
      <c r="M28" s="26"/>
      <c r="N28" s="25"/>
      <c r="O28" s="25"/>
      <c r="P28" s="25"/>
      <c r="Q28" s="25"/>
    </row>
    <row r="29" spans="3:13" ht="12.75">
      <c r="C29" s="2"/>
      <c r="D29" s="2"/>
      <c r="G29" s="2"/>
      <c r="I29" s="20" t="s">
        <v>12</v>
      </c>
      <c r="J29" s="2"/>
      <c r="M29" s="2"/>
    </row>
    <row r="30" spans="1:13" ht="13.5" thickBot="1">
      <c r="A30" t="s">
        <v>10</v>
      </c>
      <c r="C30" s="2"/>
      <c r="D30" s="2"/>
      <c r="G30" s="2"/>
      <c r="I30" s="22" t="s">
        <v>11</v>
      </c>
      <c r="J30" s="2"/>
      <c r="M30" s="2"/>
    </row>
    <row r="31" spans="2:9" ht="13.5" thickBot="1">
      <c r="B31" s="8" t="s">
        <v>1</v>
      </c>
      <c r="C31" s="9" t="s">
        <v>0</v>
      </c>
      <c r="D31" s="33"/>
      <c r="E31" s="4" t="s">
        <v>5</v>
      </c>
      <c r="I31" s="21"/>
    </row>
    <row r="32" spans="2:9" ht="12.75">
      <c r="B32" s="5">
        <v>0</v>
      </c>
      <c r="C32" s="12">
        <v>-640000</v>
      </c>
      <c r="D32" s="35"/>
      <c r="E32" s="1">
        <v>0.12</v>
      </c>
      <c r="I32" s="15">
        <f>C32</f>
        <v>-640000</v>
      </c>
    </row>
    <row r="33" spans="2:9" ht="12.75">
      <c r="B33" s="5">
        <v>1</v>
      </c>
      <c r="C33" s="12">
        <v>96250</v>
      </c>
      <c r="D33" s="35"/>
      <c r="I33" s="21"/>
    </row>
    <row r="34" spans="2:9" ht="12.75">
      <c r="B34" s="5">
        <v>2</v>
      </c>
      <c r="C34" s="12">
        <v>96250</v>
      </c>
      <c r="D34" s="35"/>
      <c r="I34" s="21"/>
    </row>
    <row r="35" spans="2:9" ht="12.75">
      <c r="B35" s="5">
        <v>3</v>
      </c>
      <c r="C35" s="12">
        <v>96250</v>
      </c>
      <c r="D35" s="35"/>
      <c r="I35" s="21"/>
    </row>
    <row r="36" spans="2:9" ht="12.75">
      <c r="B36" s="5">
        <v>4</v>
      </c>
      <c r="C36" s="12">
        <v>96250</v>
      </c>
      <c r="D36" s="35"/>
      <c r="I36" s="21"/>
    </row>
    <row r="37" spans="2:9" ht="12.75">
      <c r="B37" s="5">
        <v>5</v>
      </c>
      <c r="C37" s="12">
        <v>96250</v>
      </c>
      <c r="D37" s="35"/>
      <c r="I37" s="21"/>
    </row>
    <row r="38" spans="2:9" ht="12.75">
      <c r="B38" s="5">
        <v>6</v>
      </c>
      <c r="C38" s="12">
        <v>96250</v>
      </c>
      <c r="D38" s="35"/>
      <c r="I38" s="21"/>
    </row>
    <row r="39" spans="2:9" ht="12.75">
      <c r="B39" s="5">
        <v>7</v>
      </c>
      <c r="C39" s="12">
        <v>96250</v>
      </c>
      <c r="D39" s="35"/>
      <c r="E39" s="19">
        <f>NPV(E32,1,1,1,1,1,1,1,1)</f>
        <v>4.9676397668385865</v>
      </c>
      <c r="F39" t="s">
        <v>8</v>
      </c>
      <c r="I39" s="15">
        <f>PV(E32,8,-C33,0)</f>
        <v>478135.32755821437</v>
      </c>
    </row>
    <row r="40" spans="2:9" ht="13.5" thickBot="1">
      <c r="B40" s="6">
        <v>8</v>
      </c>
      <c r="C40" s="13">
        <f>96250+39000</f>
        <v>135250</v>
      </c>
      <c r="D40" s="35"/>
      <c r="E40" s="19">
        <f>NPV(E32,0,0,0,0,0,0,0,1)</f>
        <v>0.40388322797936904</v>
      </c>
      <c r="F40" t="s">
        <v>13</v>
      </c>
      <c r="I40" s="16">
        <f>PV(E32,8,0,-(C40-C33))</f>
        <v>15751.445891195395</v>
      </c>
    </row>
    <row r="41" spans="2:5" ht="13.5" thickBot="1">
      <c r="B41" t="s">
        <v>4</v>
      </c>
      <c r="C41" s="2">
        <f>ABS(C32)/C33</f>
        <v>6.64935064935065</v>
      </c>
      <c r="D41" s="2"/>
      <c r="E41" t="s">
        <v>6</v>
      </c>
    </row>
    <row r="42" spans="2:9" ht="13.5" thickBot="1">
      <c r="B42" t="s">
        <v>2</v>
      </c>
      <c r="C42" s="23">
        <f>C32+NPV(E32,C33:C40)</f>
        <v>-146113.22655059054</v>
      </c>
      <c r="D42" s="35"/>
      <c r="I42" s="23">
        <f>I32+I39+I40</f>
        <v>-146113.22655059025</v>
      </c>
    </row>
    <row r="43" spans="2:9" ht="12.75">
      <c r="B43" t="s">
        <v>3</v>
      </c>
      <c r="C43" s="1">
        <f>IRR($C$32:$C$40)</f>
        <v>0.05315407992963657</v>
      </c>
      <c r="D43" s="1"/>
      <c r="I43" s="1">
        <f>IRR($C$32:$C$40)</f>
        <v>0.05315407992963657</v>
      </c>
    </row>
    <row r="44" spans="1:9" ht="12.75">
      <c r="A44" t="s">
        <v>7</v>
      </c>
      <c r="C44" s="2">
        <f>NPV(E32,C33:C40)/ABS(C32)</f>
        <v>0.7716980835147023</v>
      </c>
      <c r="D44" s="2"/>
      <c r="I44" s="1"/>
    </row>
    <row r="46" spans="1:17" ht="12.75">
      <c r="A46" s="18"/>
      <c r="B46" s="18"/>
      <c r="C46" s="24"/>
      <c r="D46" s="24"/>
      <c r="E46" s="18"/>
      <c r="F46" s="18"/>
      <c r="G46" s="24"/>
      <c r="H46" s="18"/>
      <c r="I46" s="18"/>
      <c r="J46" s="24"/>
      <c r="K46" s="18"/>
      <c r="L46" s="18"/>
      <c r="M46" s="24"/>
      <c r="N46" s="18"/>
      <c r="O46" s="18"/>
      <c r="P46" s="18"/>
      <c r="Q46" s="18"/>
    </row>
    <row r="48" ht="12.75">
      <c r="A48" t="s">
        <v>14</v>
      </c>
    </row>
    <row r="49" ht="13.5" thickBot="1"/>
    <row r="50" spans="2:4" ht="13.5" thickBot="1">
      <c r="B50" s="8" t="s">
        <v>1</v>
      </c>
      <c r="C50" s="9" t="s">
        <v>0</v>
      </c>
      <c r="D50" s="33"/>
    </row>
    <row r="51" spans="2:4" ht="12.75">
      <c r="B51" s="5">
        <v>0</v>
      </c>
      <c r="C51" s="12">
        <v>-125000</v>
      </c>
      <c r="D51" s="35"/>
    </row>
    <row r="52" spans="2:4" ht="12.75">
      <c r="B52" s="5">
        <v>1</v>
      </c>
      <c r="C52" s="12">
        <v>29629</v>
      </c>
      <c r="D52" s="35"/>
    </row>
    <row r="53" spans="2:4" ht="12.75">
      <c r="B53" s="5">
        <v>2</v>
      </c>
      <c r="C53" s="12">
        <v>40293</v>
      </c>
      <c r="D53" s="35"/>
    </row>
    <row r="54" spans="2:4" ht="12.75">
      <c r="B54" s="5">
        <v>3</v>
      </c>
      <c r="C54" s="12">
        <v>33439</v>
      </c>
      <c r="D54" s="35"/>
    </row>
    <row r="55" spans="2:4" ht="12.75">
      <c r="B55" s="5">
        <v>4</v>
      </c>
      <c r="C55" s="12">
        <v>27287</v>
      </c>
      <c r="D55" s="35"/>
    </row>
    <row r="56" spans="2:4" ht="13.5" thickBot="1">
      <c r="B56" s="6">
        <v>5</v>
      </c>
      <c r="C56" s="13">
        <v>21201</v>
      </c>
      <c r="D56" s="35"/>
    </row>
    <row r="57" spans="2:5" ht="12.75">
      <c r="B57" t="s">
        <v>4</v>
      </c>
      <c r="C57" s="2">
        <v>3.1</v>
      </c>
      <c r="D57" s="2"/>
      <c r="E57" t="s">
        <v>15</v>
      </c>
    </row>
    <row r="58" spans="2:4" ht="12.75">
      <c r="B58" t="s">
        <v>2</v>
      </c>
      <c r="C58" s="14">
        <f>C51+NPV(E51,C52:C56)</f>
        <v>26849</v>
      </c>
      <c r="D58" s="14"/>
    </row>
    <row r="59" spans="2:4" ht="12.75">
      <c r="B59" t="s">
        <v>3</v>
      </c>
      <c r="C59" s="1">
        <f>IRR(C51:C56)</f>
        <v>0.07354150746667874</v>
      </c>
      <c r="D59" s="1"/>
    </row>
    <row r="60" spans="1:4" ht="12.75">
      <c r="A60" t="s">
        <v>7</v>
      </c>
      <c r="C60" s="2">
        <f>ABS(C51)/C58</f>
        <v>4.655666877723565</v>
      </c>
      <c r="D60" s="2"/>
    </row>
    <row r="62" spans="1:17" ht="12.75">
      <c r="A62" s="18"/>
      <c r="B62" s="18"/>
      <c r="C62" s="24"/>
      <c r="D62" s="24"/>
      <c r="E62" s="18"/>
      <c r="F62" s="18"/>
      <c r="G62" s="24"/>
      <c r="H62" s="18"/>
      <c r="I62" s="18"/>
      <c r="J62" s="24"/>
      <c r="K62" s="18"/>
      <c r="L62" s="18"/>
      <c r="M62" s="24"/>
      <c r="N62" s="18"/>
      <c r="O62" s="18"/>
      <c r="P62" s="18"/>
      <c r="Q62" s="18"/>
    </row>
    <row r="64" ht="12.75">
      <c r="A64" t="s">
        <v>30</v>
      </c>
    </row>
    <row r="65" ht="13.5" thickBot="1"/>
    <row r="66" spans="2:5" ht="13.5" thickBot="1">
      <c r="B66" s="8" t="s">
        <v>1</v>
      </c>
      <c r="C66" s="9" t="s">
        <v>0</v>
      </c>
      <c r="D66" s="33"/>
      <c r="E66" s="4" t="s">
        <v>5</v>
      </c>
    </row>
    <row r="67" spans="2:5" ht="12.75">
      <c r="B67" s="5">
        <v>0</v>
      </c>
      <c r="C67" s="12">
        <v>0</v>
      </c>
      <c r="D67" s="35"/>
      <c r="E67" s="1">
        <v>0.1</v>
      </c>
    </row>
    <row r="68" spans="2:5" ht="12.75">
      <c r="B68" s="5">
        <v>1</v>
      </c>
      <c r="C68" s="12">
        <v>630000</v>
      </c>
      <c r="D68" s="35"/>
      <c r="E68" s="27" t="s">
        <v>19</v>
      </c>
    </row>
    <row r="69" spans="2:5" ht="12.75">
      <c r="B69" s="5">
        <v>2</v>
      </c>
      <c r="C69" s="12">
        <v>630000</v>
      </c>
      <c r="D69" s="35"/>
      <c r="E69" s="27" t="s">
        <v>19</v>
      </c>
    </row>
    <row r="70" spans="2:4" ht="12.75">
      <c r="B70" s="5">
        <v>3</v>
      </c>
      <c r="C70" s="12">
        <v>630000</v>
      </c>
      <c r="D70" s="35"/>
    </row>
    <row r="71" spans="2:4" ht="12.75">
      <c r="B71" s="5">
        <v>4</v>
      </c>
      <c r="C71" s="12">
        <v>630000</v>
      </c>
      <c r="D71" s="35"/>
    </row>
    <row r="72" spans="2:4" ht="12.75">
      <c r="B72" s="5">
        <v>5</v>
      </c>
      <c r="C72" s="12">
        <v>630000</v>
      </c>
      <c r="D72" s="35"/>
    </row>
    <row r="73" spans="2:4" ht="13.5" thickBot="1">
      <c r="B73" s="6">
        <v>6</v>
      </c>
      <c r="C73" s="13">
        <v>630000</v>
      </c>
      <c r="D73" s="35"/>
    </row>
    <row r="74" spans="2:5" ht="12.75">
      <c r="B74" t="s">
        <v>4</v>
      </c>
      <c r="C74" s="2">
        <f>C75/C68</f>
        <v>4.3552606994622245</v>
      </c>
      <c r="D74" s="2"/>
      <c r="E74" t="s">
        <v>15</v>
      </c>
    </row>
    <row r="75" spans="2:6" ht="12.75">
      <c r="B75" t="s">
        <v>20</v>
      </c>
      <c r="C75" s="14">
        <f>NPV(E67,C68:C73)</f>
        <v>2743814.2406612015</v>
      </c>
      <c r="D75" s="14"/>
      <c r="E75" s="14">
        <f>(C73)*((1-(1+E67)^(-B73)))/E67</f>
        <v>2743814.2406612034</v>
      </c>
      <c r="F75" s="38" t="s">
        <v>27</v>
      </c>
    </row>
    <row r="76" spans="2:5" ht="12.75">
      <c r="B76" t="s">
        <v>3</v>
      </c>
      <c r="C76" s="1" t="e">
        <f>IRR(C67:C73)</f>
        <v>#NUM!</v>
      </c>
      <c r="D76" s="1"/>
      <c r="E76" t="s">
        <v>28</v>
      </c>
    </row>
    <row r="77" spans="1:4" ht="12.75">
      <c r="A77" t="s">
        <v>7</v>
      </c>
      <c r="C77" s="2">
        <f>ABS(C67)/C75</f>
        <v>0</v>
      </c>
      <c r="D77" s="2"/>
    </row>
    <row r="79" spans="1:17" ht="12.75">
      <c r="A79" s="18"/>
      <c r="B79" s="18"/>
      <c r="C79" s="24"/>
      <c r="D79" s="24"/>
      <c r="E79" s="18"/>
      <c r="F79" s="18"/>
      <c r="G79" s="24"/>
      <c r="H79" s="18"/>
      <c r="I79" s="18"/>
      <c r="J79" s="24"/>
      <c r="K79" s="18"/>
      <c r="L79" s="18"/>
      <c r="M79" s="24"/>
      <c r="N79" s="18"/>
      <c r="O79" s="18"/>
      <c r="P79" s="18"/>
      <c r="Q79" s="18"/>
    </row>
    <row r="81" ht="12.75">
      <c r="A81" t="s">
        <v>29</v>
      </c>
    </row>
    <row r="82" ht="13.5" thickBot="1"/>
    <row r="83" spans="2:5" ht="13.5" thickBot="1">
      <c r="B83" s="8" t="s">
        <v>1</v>
      </c>
      <c r="C83" s="9" t="s">
        <v>0</v>
      </c>
      <c r="D83" s="33"/>
      <c r="E83" s="4" t="s">
        <v>5</v>
      </c>
    </row>
    <row r="84" spans="2:5" ht="12.75">
      <c r="B84" s="5">
        <v>0</v>
      </c>
      <c r="C84" s="12">
        <v>-360000</v>
      </c>
      <c r="D84" s="35"/>
      <c r="E84" s="1">
        <v>0.09</v>
      </c>
    </row>
    <row r="85" spans="2:4" ht="12.75">
      <c r="B85" s="5">
        <v>1</v>
      </c>
      <c r="C85" s="12">
        <v>62000</v>
      </c>
      <c r="D85" s="35"/>
    </row>
    <row r="86" spans="2:4" ht="12.75">
      <c r="B86" s="5">
        <v>2</v>
      </c>
      <c r="C86" s="12">
        <v>62000</v>
      </c>
      <c r="D86" s="35"/>
    </row>
    <row r="87" spans="2:4" ht="12.75">
      <c r="B87" s="5">
        <v>3</v>
      </c>
      <c r="C87" s="12">
        <v>62000</v>
      </c>
      <c r="D87" s="35"/>
    </row>
    <row r="88" spans="2:4" ht="12.75">
      <c r="B88" s="5">
        <v>4</v>
      </c>
      <c r="C88" s="12">
        <v>62000</v>
      </c>
      <c r="D88" s="35"/>
    </row>
    <row r="89" spans="2:4" ht="12.75">
      <c r="B89" s="5">
        <v>5</v>
      </c>
      <c r="C89" s="12">
        <v>62000</v>
      </c>
      <c r="D89" s="35"/>
    </row>
    <row r="90" spans="2:4" ht="12.75">
      <c r="B90" s="5">
        <v>6</v>
      </c>
      <c r="C90" s="12">
        <v>62000</v>
      </c>
      <c r="D90" s="35"/>
    </row>
    <row r="91" spans="2:4" ht="12.75">
      <c r="B91" s="5">
        <v>7</v>
      </c>
      <c r="C91" s="12">
        <v>62000</v>
      </c>
      <c r="D91" s="35"/>
    </row>
    <row r="92" spans="2:4" ht="12.75">
      <c r="B92" s="5">
        <v>8</v>
      </c>
      <c r="C92" s="12">
        <v>62000</v>
      </c>
      <c r="D92" s="35"/>
    </row>
    <row r="93" spans="2:4" ht="12.75">
      <c r="B93" s="5">
        <v>9</v>
      </c>
      <c r="C93" s="12">
        <v>62000</v>
      </c>
      <c r="D93" s="35"/>
    </row>
    <row r="94" spans="2:4" ht="13.5" thickBot="1">
      <c r="B94" s="6">
        <v>10</v>
      </c>
      <c r="C94" s="13">
        <v>62000</v>
      </c>
      <c r="D94" s="35"/>
    </row>
    <row r="95" spans="2:5" ht="13.5" thickBot="1">
      <c r="B95" t="s">
        <v>4</v>
      </c>
      <c r="C95" s="2">
        <f>ABS(C84)/C85</f>
        <v>5.806451612903226</v>
      </c>
      <c r="D95" s="2"/>
      <c r="E95" t="s">
        <v>6</v>
      </c>
    </row>
    <row r="96" spans="2:6" ht="13.5" thickBot="1">
      <c r="B96" t="s">
        <v>2</v>
      </c>
      <c r="C96" s="23">
        <f>C84+NPV(E84,C85:C94)</f>
        <v>37894.777471858426</v>
      </c>
      <c r="D96" s="35"/>
      <c r="E96" s="14">
        <f>C96-C84</f>
        <v>397894.7774718584</v>
      </c>
      <c r="F96" s="37" t="s">
        <v>21</v>
      </c>
    </row>
    <row r="97" spans="2:4" ht="13.5" thickBot="1">
      <c r="B97" t="s">
        <v>3</v>
      </c>
      <c r="C97" s="1">
        <f>IRR(C84:C94)</f>
        <v>0.1133897781274167</v>
      </c>
      <c r="D97" s="1"/>
    </row>
    <row r="98" spans="1:4" ht="13.5" thickBot="1">
      <c r="A98" t="s">
        <v>7</v>
      </c>
      <c r="C98" s="39">
        <f>NPV(E84,C85:C94)/ABS(C84)</f>
        <v>1.1052632707551624</v>
      </c>
      <c r="D98" s="49"/>
    </row>
    <row r="101" spans="1:17" ht="12.75">
      <c r="A101" s="18"/>
      <c r="B101" s="18"/>
      <c r="C101" s="24"/>
      <c r="D101" s="24"/>
      <c r="E101" s="18"/>
      <c r="F101" s="18"/>
      <c r="G101" s="24"/>
      <c r="H101" s="18"/>
      <c r="I101" s="18"/>
      <c r="J101" s="24"/>
      <c r="K101" s="18"/>
      <c r="L101" s="18"/>
      <c r="M101" s="24"/>
      <c r="N101" s="18"/>
      <c r="O101" s="18"/>
      <c r="P101" s="18"/>
      <c r="Q101" s="18"/>
    </row>
    <row r="103" ht="12.75">
      <c r="A103" t="s">
        <v>31</v>
      </c>
    </row>
    <row r="104" ht="13.5" thickBot="1"/>
    <row r="105" spans="2:5" ht="13.5" thickBot="1">
      <c r="B105" s="8" t="s">
        <v>1</v>
      </c>
      <c r="C105" s="9" t="s">
        <v>0</v>
      </c>
      <c r="D105" s="33"/>
      <c r="E105" s="4" t="s">
        <v>5</v>
      </c>
    </row>
    <row r="106" spans="2:5" ht="12.75">
      <c r="B106" s="5">
        <v>0</v>
      </c>
      <c r="C106" s="12">
        <v>-55475</v>
      </c>
      <c r="D106" s="35"/>
      <c r="E106" s="1">
        <v>0.12</v>
      </c>
    </row>
    <row r="107" spans="2:4" ht="12.75">
      <c r="B107" s="5">
        <v>1</v>
      </c>
      <c r="C107" s="12">
        <v>12000</v>
      </c>
      <c r="D107" s="35"/>
    </row>
    <row r="108" spans="2:4" ht="12.75">
      <c r="B108" s="5">
        <v>2</v>
      </c>
      <c r="C108" s="12">
        <v>12000</v>
      </c>
      <c r="D108" s="35"/>
    </row>
    <row r="109" spans="2:4" ht="12.75">
      <c r="B109" s="5">
        <v>3</v>
      </c>
      <c r="C109" s="12">
        <v>12000</v>
      </c>
      <c r="D109" s="35"/>
    </row>
    <row r="110" spans="2:4" ht="12.75">
      <c r="B110" s="5">
        <v>4</v>
      </c>
      <c r="C110" s="12">
        <v>12000</v>
      </c>
      <c r="D110" s="35"/>
    </row>
    <row r="111" spans="2:4" ht="12.75">
      <c r="B111" s="5">
        <v>5</v>
      </c>
      <c r="C111" s="12">
        <v>12000</v>
      </c>
      <c r="D111" s="35"/>
    </row>
    <row r="112" spans="2:4" ht="13.5" thickBot="1">
      <c r="B112" s="6">
        <v>6</v>
      </c>
      <c r="C112" s="13">
        <v>12000</v>
      </c>
      <c r="D112" s="35"/>
    </row>
    <row r="113" spans="2:5" ht="13.5" thickBot="1">
      <c r="B113" t="s">
        <v>4</v>
      </c>
      <c r="C113" s="2">
        <f>ABS(C106)/C107</f>
        <v>4.622916666666667</v>
      </c>
      <c r="D113" s="2"/>
      <c r="E113" t="s">
        <v>6</v>
      </c>
    </row>
    <row r="114" spans="2:7" ht="13.5" thickBot="1">
      <c r="B114" t="s">
        <v>2</v>
      </c>
      <c r="C114" s="23">
        <f>C106+NPV(E106,C107:C112)</f>
        <v>-6138.112117732104</v>
      </c>
      <c r="D114" s="35"/>
      <c r="E114" s="14">
        <f>(C114-C106)</f>
        <v>49336.887882267896</v>
      </c>
      <c r="F114" s="37" t="s">
        <v>21</v>
      </c>
      <c r="G114" s="14">
        <f>PV(0.12,6,-12000)</f>
        <v>49336.88788226794</v>
      </c>
    </row>
    <row r="115" spans="2:4" ht="13.5" thickBot="1">
      <c r="B115" t="s">
        <v>3</v>
      </c>
      <c r="C115" s="1">
        <f>IRR(C106:C112)</f>
        <v>0.07999736153008613</v>
      </c>
      <c r="D115" s="1"/>
    </row>
    <row r="116" spans="1:4" ht="13.5" thickBot="1">
      <c r="A116" t="s">
        <v>7</v>
      </c>
      <c r="C116" s="39">
        <f>NPV(E106,C107:C112)/ABS(C106)</f>
        <v>0.8893535445203766</v>
      </c>
      <c r="D116" s="49"/>
    </row>
    <row r="118" spans="1:17" ht="12.75">
      <c r="A118" s="18"/>
      <c r="B118" s="18"/>
      <c r="C118" s="24"/>
      <c r="D118" s="24"/>
      <c r="E118" s="18"/>
      <c r="F118" s="18"/>
      <c r="G118" s="24"/>
      <c r="H118" s="18"/>
      <c r="I118" s="18"/>
      <c r="J118" s="24"/>
      <c r="K118" s="18"/>
      <c r="L118" s="18"/>
      <c r="M118" s="24"/>
      <c r="N118" s="18"/>
      <c r="O118" s="18"/>
      <c r="P118" s="18"/>
      <c r="Q118" s="18"/>
    </row>
    <row r="120" ht="13.5" thickBot="1">
      <c r="A120" t="s">
        <v>67</v>
      </c>
    </row>
    <row r="121" spans="2:4" ht="13.5" thickTop="1">
      <c r="B121" s="41"/>
      <c r="C121" s="64" t="s">
        <v>68</v>
      </c>
      <c r="D121" s="42" t="s">
        <v>69</v>
      </c>
    </row>
    <row r="122" spans="2:5" ht="13.5" thickBot="1">
      <c r="B122" s="43" t="s">
        <v>1</v>
      </c>
      <c r="C122" s="69" t="s">
        <v>0</v>
      </c>
      <c r="D122" s="44" t="s">
        <v>0</v>
      </c>
      <c r="E122" s="4" t="s">
        <v>5</v>
      </c>
    </row>
    <row r="123" spans="2:5" ht="13.5" thickTop="1">
      <c r="B123" s="51">
        <v>0</v>
      </c>
      <c r="C123" s="62">
        <v>-2200000</v>
      </c>
      <c r="D123" s="53">
        <v>-2200000</v>
      </c>
      <c r="E123" s="1">
        <v>0.11</v>
      </c>
    </row>
    <row r="124" spans="2:4" ht="12.75">
      <c r="B124" s="51">
        <v>1</v>
      </c>
      <c r="C124" s="62">
        <v>200000</v>
      </c>
      <c r="D124" s="53">
        <v>520000</v>
      </c>
    </row>
    <row r="125" spans="2:4" ht="12.75">
      <c r="B125" s="51">
        <v>2</v>
      </c>
      <c r="C125" s="62">
        <v>200000</v>
      </c>
      <c r="D125" s="53">
        <v>520000</v>
      </c>
    </row>
    <row r="126" spans="2:4" ht="12.75">
      <c r="B126" s="51">
        <v>3</v>
      </c>
      <c r="C126" s="62">
        <v>700000</v>
      </c>
      <c r="D126" s="53">
        <v>1300000</v>
      </c>
    </row>
    <row r="127" spans="2:4" ht="13.5" thickBot="1">
      <c r="B127" s="54">
        <v>4</v>
      </c>
      <c r="C127" s="63">
        <v>1000000</v>
      </c>
      <c r="D127" s="57">
        <v>1300000</v>
      </c>
    </row>
    <row r="128" spans="2:6" ht="14.25" thickBot="1" thickTop="1">
      <c r="B128" t="s">
        <v>4</v>
      </c>
      <c r="C128" s="2">
        <v>4</v>
      </c>
      <c r="D128" s="2">
        <f>2+ABS(D123+D124+D125)/D126</f>
        <v>2.8923076923076922</v>
      </c>
      <c r="E128" t="s">
        <v>6</v>
      </c>
      <c r="F128" s="4" t="s">
        <v>73</v>
      </c>
    </row>
    <row r="129" spans="2:8" ht="14.25" thickBot="1" thickTop="1">
      <c r="B129" t="s">
        <v>2</v>
      </c>
      <c r="C129" s="23">
        <f>C123+NPV(E123,C124:C127)</f>
        <v>-686930.3921153436</v>
      </c>
      <c r="D129" s="23">
        <f>D123+NPV(E123,D124:D127)</f>
        <v>497411.1958351121</v>
      </c>
      <c r="E129" s="14" t="s">
        <v>19</v>
      </c>
      <c r="F129" s="70">
        <f>C132*C129+D132*D129</f>
        <v>142108.71944997538</v>
      </c>
      <c r="G129" s="71" t="s">
        <v>70</v>
      </c>
      <c r="H129" s="72"/>
    </row>
    <row r="130" spans="2:4" ht="13.5" thickBot="1">
      <c r="B130" t="s">
        <v>3</v>
      </c>
      <c r="C130" s="1">
        <f>IRR(C123:C127)</f>
        <v>-0.014445301511510387</v>
      </c>
      <c r="D130" s="1">
        <f>IRR(D123:D127)</f>
        <v>0.19471546840065637</v>
      </c>
    </row>
    <row r="131" spans="1:4" ht="13.5" thickBot="1">
      <c r="A131" t="s">
        <v>72</v>
      </c>
      <c r="C131" s="39">
        <f>NPV(E123,C124:C127)/ABS(C123)</f>
        <v>0.6877589126748438</v>
      </c>
      <c r="D131" s="39">
        <f>NPV(F123,D124:D127)/ABS(D123)</f>
        <v>1.6545454545454545</v>
      </c>
    </row>
    <row r="132" spans="1:4" ht="12.75">
      <c r="A132" t="s">
        <v>71</v>
      </c>
      <c r="B132" s="28"/>
      <c r="C132">
        <v>0.3</v>
      </c>
      <c r="D132">
        <v>0.7</v>
      </c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C16" sqref="C16"/>
    </sheetView>
  </sheetViews>
  <sheetFormatPr defaultColWidth="9.140625" defaultRowHeight="12.75"/>
  <cols>
    <col min="5" max="5" width="9.7109375" style="0" bestFit="1" customWidth="1"/>
    <col min="6" max="6" width="11.7109375" style="0" bestFit="1" customWidth="1"/>
    <col min="7" max="7" width="11.7109375" style="0" customWidth="1"/>
    <col min="8" max="8" width="11.28125" style="0" bestFit="1" customWidth="1"/>
    <col min="9" max="10" width="11.28125" style="0" customWidth="1"/>
  </cols>
  <sheetData>
    <row r="1" ht="12.75">
      <c r="A1" t="s">
        <v>43</v>
      </c>
    </row>
    <row r="2" ht="12.75">
      <c r="A2" t="s">
        <v>61</v>
      </c>
    </row>
    <row r="3" ht="12.75">
      <c r="A3" t="s">
        <v>62</v>
      </c>
    </row>
    <row r="5" ht="12.75">
      <c r="A5" t="s">
        <v>63</v>
      </c>
    </row>
    <row r="6" ht="12.75">
      <c r="A6" t="s">
        <v>64</v>
      </c>
    </row>
    <row r="7" ht="12.75">
      <c r="A7" t="s">
        <v>65</v>
      </c>
    </row>
    <row r="8" ht="12.75">
      <c r="A8" t="s">
        <v>66</v>
      </c>
    </row>
    <row r="10" ht="13.5" thickBot="1"/>
    <row r="11" spans="2:10" ht="14.25" thickBot="1" thickTop="1">
      <c r="B11" s="41"/>
      <c r="C11" s="45"/>
      <c r="D11" s="41"/>
      <c r="E11" s="50"/>
      <c r="F11" s="45"/>
      <c r="G11" s="67" t="s">
        <v>56</v>
      </c>
      <c r="H11" s="65">
        <v>0.06</v>
      </c>
      <c r="I11" s="65">
        <v>0.06</v>
      </c>
      <c r="J11" s="66">
        <v>0.06</v>
      </c>
    </row>
    <row r="12" spans="2:10" ht="13.5" thickTop="1">
      <c r="B12" s="51"/>
      <c r="C12" s="33"/>
      <c r="D12" s="51"/>
      <c r="E12" s="52"/>
      <c r="F12" s="61"/>
      <c r="G12" s="64" t="s">
        <v>60</v>
      </c>
      <c r="H12" s="34" t="s">
        <v>50</v>
      </c>
      <c r="I12" s="34" t="s">
        <v>52</v>
      </c>
      <c r="J12" s="48" t="s">
        <v>54</v>
      </c>
    </row>
    <row r="13" spans="2:11" ht="12.75">
      <c r="B13" s="51"/>
      <c r="C13" s="34" t="s">
        <v>46</v>
      </c>
      <c r="D13" s="58" t="s">
        <v>46</v>
      </c>
      <c r="E13" s="48" t="s">
        <v>48</v>
      </c>
      <c r="F13" s="61" t="s">
        <v>45</v>
      </c>
      <c r="G13" s="61" t="s">
        <v>57</v>
      </c>
      <c r="H13" s="34" t="s">
        <v>51</v>
      </c>
      <c r="I13" s="34" t="s">
        <v>53</v>
      </c>
      <c r="J13" s="48" t="s">
        <v>55</v>
      </c>
      <c r="K13" s="4"/>
    </row>
    <row r="14" spans="2:11" ht="12.75">
      <c r="B14" s="47" t="s">
        <v>1</v>
      </c>
      <c r="C14" s="34" t="s">
        <v>47</v>
      </c>
      <c r="D14" s="58" t="s">
        <v>44</v>
      </c>
      <c r="E14" s="48" t="s">
        <v>49</v>
      </c>
      <c r="F14" s="61" t="s">
        <v>44</v>
      </c>
      <c r="G14" s="61" t="s">
        <v>58</v>
      </c>
      <c r="H14" s="34" t="s">
        <v>0</v>
      </c>
      <c r="I14" s="34" t="s">
        <v>0</v>
      </c>
      <c r="J14" s="48" t="s">
        <v>0</v>
      </c>
      <c r="K14" s="4" t="s">
        <v>19</v>
      </c>
    </row>
    <row r="15" spans="2:11" ht="12.75">
      <c r="B15" s="51">
        <v>0</v>
      </c>
      <c r="C15" s="33"/>
      <c r="D15" s="51"/>
      <c r="E15" s="52"/>
      <c r="F15" s="62" t="s">
        <v>19</v>
      </c>
      <c r="G15" s="62">
        <v>-50000</v>
      </c>
      <c r="H15" s="35">
        <v>-1000000</v>
      </c>
      <c r="I15" s="35">
        <v>-100000</v>
      </c>
      <c r="J15" s="53">
        <f aca="true" t="shared" si="0" ref="J15:J20">G15</f>
        <v>-50000</v>
      </c>
      <c r="K15" s="1" t="s">
        <v>19</v>
      </c>
    </row>
    <row r="16" spans="2:10" ht="12.75">
      <c r="B16" s="51">
        <v>1</v>
      </c>
      <c r="C16" s="33">
        <v>900000</v>
      </c>
      <c r="D16" s="59">
        <f>C16*0.4*0.1</f>
        <v>36000</v>
      </c>
      <c r="E16" s="53">
        <v>-237420</v>
      </c>
      <c r="F16" s="62">
        <f>0.4*DDB(-H$15,0,5,B16,2)</f>
        <v>160000</v>
      </c>
      <c r="G16" s="62">
        <f>-220000*(1-0.4)</f>
        <v>-132000</v>
      </c>
      <c r="H16" s="35">
        <f>F16</f>
        <v>160000</v>
      </c>
      <c r="I16" s="35">
        <f>D16+E16+H16</f>
        <v>-41420</v>
      </c>
      <c r="J16" s="53">
        <f t="shared" si="0"/>
        <v>-132000</v>
      </c>
    </row>
    <row r="17" spans="2:10" ht="12.75">
      <c r="B17" s="51">
        <v>2</v>
      </c>
      <c r="C17" s="33">
        <v>752580</v>
      </c>
      <c r="D17" s="59">
        <f>C17*0.4*0.1</f>
        <v>30103.2</v>
      </c>
      <c r="E17" s="53">
        <v>-237420</v>
      </c>
      <c r="F17" s="62">
        <f>0.4*DDB(-H$15,0,5,B17,2)</f>
        <v>96000</v>
      </c>
      <c r="G17" s="62">
        <f>-220000*(1-0.4)</f>
        <v>-132000</v>
      </c>
      <c r="H17" s="35">
        <f>F17</f>
        <v>96000</v>
      </c>
      <c r="I17" s="35">
        <f>D17+E17+H17</f>
        <v>-111316.79999999999</v>
      </c>
      <c r="J17" s="53">
        <f t="shared" si="0"/>
        <v>-132000</v>
      </c>
    </row>
    <row r="18" spans="2:10" ht="12.75">
      <c r="B18" s="51">
        <v>3</v>
      </c>
      <c r="C18" s="33">
        <v>590418</v>
      </c>
      <c r="D18" s="59">
        <f>C18*0.4*0.1</f>
        <v>23616.72</v>
      </c>
      <c r="E18" s="53">
        <v>-237420</v>
      </c>
      <c r="F18" s="62">
        <f>0.4*DDB(-H$15,0,5,B18,2)</f>
        <v>57600</v>
      </c>
      <c r="G18" s="62">
        <f>-220000*(1-0.4)</f>
        <v>-132000</v>
      </c>
      <c r="H18" s="35">
        <f>F18</f>
        <v>57600</v>
      </c>
      <c r="I18" s="35">
        <f>D18+E18+H18</f>
        <v>-156203.28</v>
      </c>
      <c r="J18" s="53">
        <f t="shared" si="0"/>
        <v>-132000</v>
      </c>
    </row>
    <row r="19" spans="2:10" ht="12.75">
      <c r="B19" s="51">
        <v>4</v>
      </c>
      <c r="C19" s="46">
        <v>412040</v>
      </c>
      <c r="D19" s="59">
        <f>C19*0.4*0.1</f>
        <v>16481.600000000002</v>
      </c>
      <c r="E19" s="53">
        <v>-237420</v>
      </c>
      <c r="F19" s="62">
        <f>0.4*SLN(-H$15-SUM(F$16:F$18)/0.4,0,2)</f>
        <v>43200</v>
      </c>
      <c r="G19" s="62">
        <f>-220000*(1-0.4)</f>
        <v>-132000</v>
      </c>
      <c r="H19" s="35">
        <f>F19</f>
        <v>43200</v>
      </c>
      <c r="I19" s="35">
        <f>D19+E19+H19</f>
        <v>-177738.4</v>
      </c>
      <c r="J19" s="53">
        <f t="shared" si="0"/>
        <v>-132000</v>
      </c>
    </row>
    <row r="20" spans="2:10" ht="13.5" thickBot="1">
      <c r="B20" s="54">
        <v>5</v>
      </c>
      <c r="C20" s="55">
        <v>215824</v>
      </c>
      <c r="D20" s="60">
        <f>C20*0.4*0.1</f>
        <v>8632.960000000001</v>
      </c>
      <c r="E20" s="57">
        <v>-237420</v>
      </c>
      <c r="F20" s="63">
        <f>0.4*SLN(-H$15-SUM(F$16:F$18)/0.4,0,2)</f>
        <v>43200</v>
      </c>
      <c r="G20" s="63">
        <f>-220000*(1-0.4)</f>
        <v>-132000</v>
      </c>
      <c r="H20" s="56">
        <f>F20</f>
        <v>43200</v>
      </c>
      <c r="I20" s="56">
        <f>D20+E20+H20</f>
        <v>-185587.04</v>
      </c>
      <c r="J20" s="57">
        <f t="shared" si="0"/>
        <v>-132000</v>
      </c>
    </row>
    <row r="21" spans="2:11" ht="14.25" thickBot="1" thickTop="1">
      <c r="B21" t="s">
        <v>19</v>
      </c>
      <c r="H21" s="2" t="s">
        <v>19</v>
      </c>
      <c r="I21" s="2"/>
      <c r="J21" s="2"/>
      <c r="K21" t="s">
        <v>19</v>
      </c>
    </row>
    <row r="22" spans="2:13" ht="13.5" thickBot="1">
      <c r="B22" t="s">
        <v>19</v>
      </c>
      <c r="G22" s="68" t="s">
        <v>59</v>
      </c>
      <c r="H22" s="23">
        <f>H15+NPV(H11,H16:H20)</f>
        <v>-648754.8755098612</v>
      </c>
      <c r="I22" s="23">
        <f>I15+NPV(I11,I16:I20)</f>
        <v>-648765.2061448685</v>
      </c>
      <c r="J22" s="23">
        <f>J15+NPV(J11,J16:J20)</f>
        <v>-606032.0196946741</v>
      </c>
      <c r="K22" s="14" t="s">
        <v>19</v>
      </c>
      <c r="L22" t="s">
        <v>19</v>
      </c>
      <c r="M22" s="14" t="s">
        <v>19</v>
      </c>
    </row>
    <row r="23" spans="2:10" ht="12.75">
      <c r="B23" t="s">
        <v>19</v>
      </c>
      <c r="H23" s="1" t="s">
        <v>19</v>
      </c>
      <c r="I23" s="1" t="s">
        <v>19</v>
      </c>
      <c r="J23" s="1"/>
    </row>
    <row r="24" spans="1:10" ht="12.75">
      <c r="A24" t="s">
        <v>19</v>
      </c>
      <c r="B24" t="s">
        <v>19</v>
      </c>
      <c r="H24" s="49" t="s">
        <v>19</v>
      </c>
      <c r="J24" s="4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G23">
      <selection activeCell="L42" sqref="K42:L42"/>
    </sheetView>
  </sheetViews>
  <sheetFormatPr defaultColWidth="9.140625" defaultRowHeight="12.75"/>
  <cols>
    <col min="2" max="2" width="11.00390625" style="0" customWidth="1"/>
    <col min="4" max="4" width="10.57421875" style="0" bestFit="1" customWidth="1"/>
    <col min="6" max="6" width="11.8515625" style="0" bestFit="1" customWidth="1"/>
    <col min="7" max="7" width="9.7109375" style="0" bestFit="1" customWidth="1"/>
    <col min="8" max="8" width="10.57421875" style="0" bestFit="1" customWidth="1"/>
    <col min="10" max="10" width="11.8515625" style="0" bestFit="1" customWidth="1"/>
    <col min="11" max="11" width="9.7109375" style="0" bestFit="1" customWidth="1"/>
    <col min="12" max="12" width="10.57421875" style="0" bestFit="1" customWidth="1"/>
    <col min="14" max="14" width="11.8515625" style="0" bestFit="1" customWidth="1"/>
    <col min="15" max="15" width="9.7109375" style="0" bestFit="1" customWidth="1"/>
    <col min="16" max="16" width="10.57421875" style="0" bestFit="1" customWidth="1"/>
  </cols>
  <sheetData>
    <row r="1" ht="12.75">
      <c r="C1" t="s">
        <v>74</v>
      </c>
    </row>
    <row r="2" ht="12.75">
      <c r="C2" t="s">
        <v>75</v>
      </c>
    </row>
    <row r="3" ht="12.75">
      <c r="F3" t="s">
        <v>76</v>
      </c>
    </row>
    <row r="5" ht="12.75">
      <c r="F5" t="s">
        <v>77</v>
      </c>
    </row>
    <row r="6" ht="12.75">
      <c r="A6" s="73" t="s">
        <v>78</v>
      </c>
    </row>
    <row r="7" ht="12.75">
      <c r="A7" s="74" t="s">
        <v>79</v>
      </c>
    </row>
    <row r="8" ht="12.75">
      <c r="A8" s="74" t="s">
        <v>80</v>
      </c>
    </row>
    <row r="9" ht="12.75">
      <c r="A9" s="75" t="s">
        <v>81</v>
      </c>
    </row>
    <row r="11" ht="12.75">
      <c r="A11" t="s">
        <v>82</v>
      </c>
    </row>
    <row r="12" ht="12.75">
      <c r="B12" t="s">
        <v>83</v>
      </c>
    </row>
    <row r="15" ht="12.75">
      <c r="A15" s="73" t="s">
        <v>84</v>
      </c>
    </row>
    <row r="16" ht="12.75">
      <c r="A16" t="s">
        <v>85</v>
      </c>
    </row>
    <row r="17" ht="12.75">
      <c r="B17" s="73" t="s">
        <v>86</v>
      </c>
    </row>
    <row r="19" ht="12.75">
      <c r="A19" t="s">
        <v>87</v>
      </c>
    </row>
    <row r="20" ht="12.75">
      <c r="B20" t="s">
        <v>88</v>
      </c>
    </row>
    <row r="22" ht="13.5" thickBot="1"/>
    <row r="23" spans="2:16" ht="13.5" thickBot="1">
      <c r="B23" s="76" t="s">
        <v>1</v>
      </c>
      <c r="C23" s="9" t="s">
        <v>0</v>
      </c>
      <c r="D23" s="4" t="s">
        <v>89</v>
      </c>
      <c r="F23" s="76" t="s">
        <v>1</v>
      </c>
      <c r="G23" s="9" t="s">
        <v>0</v>
      </c>
      <c r="H23" s="4" t="s">
        <v>89</v>
      </c>
      <c r="J23" s="76" t="s">
        <v>1</v>
      </c>
      <c r="K23" s="9" t="s">
        <v>0</v>
      </c>
      <c r="L23" s="4" t="s">
        <v>89</v>
      </c>
      <c r="N23" s="76" t="s">
        <v>1</v>
      </c>
      <c r="O23" s="9" t="s">
        <v>0</v>
      </c>
      <c r="P23" s="4" t="s">
        <v>89</v>
      </c>
    </row>
    <row r="24" spans="2:16" ht="12.75">
      <c r="B24" s="77">
        <v>0</v>
      </c>
      <c r="C24" s="78">
        <v>800</v>
      </c>
      <c r="D24" s="79">
        <f>9.12%/12</f>
        <v>0.007599999999999999</v>
      </c>
      <c r="F24" s="77">
        <v>0</v>
      </c>
      <c r="G24" s="78">
        <v>800</v>
      </c>
      <c r="H24" s="79">
        <f>C38/12</f>
        <v>0.007600000000850568</v>
      </c>
      <c r="J24" s="77">
        <v>0</v>
      </c>
      <c r="K24" s="78">
        <v>800</v>
      </c>
      <c r="L24" s="79">
        <f>G38/12</f>
        <v>0.023421066834030984</v>
      </c>
      <c r="N24" s="77">
        <v>0</v>
      </c>
      <c r="O24" s="40">
        <v>800</v>
      </c>
      <c r="P24" s="1">
        <f>$D24</f>
        <v>0.007599999999999999</v>
      </c>
    </row>
    <row r="25" spans="2:15" ht="12.75">
      <c r="B25" s="77">
        <v>1</v>
      </c>
      <c r="C25" s="78">
        <v>56</v>
      </c>
      <c r="F25" s="77">
        <v>1</v>
      </c>
      <c r="G25" s="78">
        <v>56</v>
      </c>
      <c r="J25" s="77">
        <v>1</v>
      </c>
      <c r="K25" s="78">
        <v>56</v>
      </c>
      <c r="N25" s="77">
        <v>1</v>
      </c>
      <c r="O25" s="12">
        <v>56</v>
      </c>
    </row>
    <row r="26" spans="2:15" ht="12.75">
      <c r="B26" s="77">
        <v>2</v>
      </c>
      <c r="C26" s="78">
        <v>56</v>
      </c>
      <c r="F26" s="77">
        <v>2</v>
      </c>
      <c r="G26" s="78">
        <v>56</v>
      </c>
      <c r="J26" s="77">
        <v>2</v>
      </c>
      <c r="K26" s="78">
        <v>56</v>
      </c>
      <c r="N26" s="77">
        <v>2</v>
      </c>
      <c r="O26" s="12">
        <v>56</v>
      </c>
    </row>
    <row r="27" spans="2:15" ht="12.75">
      <c r="B27" s="77">
        <v>3</v>
      </c>
      <c r="C27" s="78">
        <v>56</v>
      </c>
      <c r="F27" s="77">
        <v>3</v>
      </c>
      <c r="G27" s="78">
        <v>56</v>
      </c>
      <c r="J27" s="77">
        <v>3</v>
      </c>
      <c r="K27" s="78">
        <v>56</v>
      </c>
      <c r="N27" s="77">
        <v>3</v>
      </c>
      <c r="O27" s="12">
        <v>56</v>
      </c>
    </row>
    <row r="28" spans="2:15" ht="12.75">
      <c r="B28" s="77" t="s">
        <v>19</v>
      </c>
      <c r="C28" s="78" t="s">
        <v>19</v>
      </c>
      <c r="F28" s="77" t="s">
        <v>19</v>
      </c>
      <c r="G28" s="78" t="s">
        <v>19</v>
      </c>
      <c r="J28" s="77" t="s">
        <v>19</v>
      </c>
      <c r="K28" s="78">
        <v>56</v>
      </c>
      <c r="N28" s="77" t="s">
        <v>19</v>
      </c>
      <c r="O28" s="12" t="s">
        <v>19</v>
      </c>
    </row>
    <row r="29" spans="2:15" ht="12.75">
      <c r="B29" s="77">
        <v>37</v>
      </c>
      <c r="C29" s="78">
        <v>56</v>
      </c>
      <c r="F29" s="77">
        <v>37</v>
      </c>
      <c r="G29" s="78">
        <v>56</v>
      </c>
      <c r="J29" s="77">
        <v>37</v>
      </c>
      <c r="K29" s="78">
        <v>56</v>
      </c>
      <c r="N29" s="77">
        <v>37</v>
      </c>
      <c r="O29" s="12">
        <v>56</v>
      </c>
    </row>
    <row r="30" spans="2:15" ht="13.5" thickBot="1">
      <c r="B30" s="80">
        <v>38</v>
      </c>
      <c r="C30" s="81">
        <v>56</v>
      </c>
      <c r="F30" s="80">
        <v>38</v>
      </c>
      <c r="G30" s="81">
        <v>56</v>
      </c>
      <c r="J30" s="80">
        <v>38</v>
      </c>
      <c r="K30" s="81">
        <v>56</v>
      </c>
      <c r="N30" s="80">
        <v>38</v>
      </c>
      <c r="O30" s="13">
        <v>56</v>
      </c>
    </row>
    <row r="31" spans="2:15" ht="12.75">
      <c r="B31" s="34"/>
      <c r="C31" s="82"/>
      <c r="F31" s="34"/>
      <c r="G31" s="82"/>
      <c r="J31" s="34"/>
      <c r="K31" s="82"/>
      <c r="N31" s="34"/>
      <c r="O31" s="35"/>
    </row>
    <row r="32" spans="2:15" ht="13.5" thickBot="1">
      <c r="B32" s="83" t="s">
        <v>90</v>
      </c>
      <c r="C32" s="35"/>
      <c r="F32" s="33"/>
      <c r="G32" s="35"/>
      <c r="J32" s="83" t="s">
        <v>91</v>
      </c>
      <c r="K32" s="35"/>
      <c r="N32" s="33"/>
      <c r="O32" s="35"/>
    </row>
    <row r="33" spans="2:15" ht="14.25" thickBot="1" thickTop="1">
      <c r="B33" s="41" t="s">
        <v>92</v>
      </c>
      <c r="C33" s="84">
        <f>C24+C35</f>
        <v>2642.2490361756772</v>
      </c>
      <c r="F33" s="33" t="s">
        <v>92</v>
      </c>
      <c r="G33" s="35">
        <v>2199</v>
      </c>
      <c r="J33" s="33" t="s">
        <v>92</v>
      </c>
      <c r="K33" s="35">
        <f>G33</f>
        <v>2199</v>
      </c>
      <c r="N33" s="33" t="s">
        <v>92</v>
      </c>
      <c r="O33" s="35">
        <v>2799</v>
      </c>
    </row>
    <row r="34" spans="2:16" ht="14.25" thickBot="1" thickTop="1">
      <c r="B34" s="85" t="s">
        <v>93</v>
      </c>
      <c r="C34" s="86">
        <f>C33-C24</f>
        <v>1842.2490361756772</v>
      </c>
      <c r="D34" t="s">
        <v>19</v>
      </c>
      <c r="F34" t="s">
        <v>93</v>
      </c>
      <c r="G34" s="14">
        <f>G33-G24</f>
        <v>1399</v>
      </c>
      <c r="H34" t="s">
        <v>19</v>
      </c>
      <c r="J34" t="s">
        <v>93</v>
      </c>
      <c r="K34" s="14">
        <f>K33-K24</f>
        <v>1399</v>
      </c>
      <c r="L34" t="s">
        <v>19</v>
      </c>
      <c r="N34" t="s">
        <v>93</v>
      </c>
      <c r="O34" s="14">
        <f>O33-O24</f>
        <v>1999</v>
      </c>
      <c r="P34" t="s">
        <v>19</v>
      </c>
    </row>
    <row r="35" spans="2:15" ht="14.25" thickBot="1" thickTop="1">
      <c r="B35" s="85" t="s">
        <v>20</v>
      </c>
      <c r="C35" s="86">
        <v>1842.2490361756772</v>
      </c>
      <c r="F35" t="s">
        <v>20</v>
      </c>
      <c r="G35" s="14">
        <v>1842.2490361467335</v>
      </c>
      <c r="J35" s="85" t="s">
        <v>20</v>
      </c>
      <c r="K35" s="86">
        <v>1399</v>
      </c>
      <c r="N35" s="85" t="s">
        <v>20</v>
      </c>
      <c r="O35" s="86">
        <v>1842.2490361756772</v>
      </c>
    </row>
    <row r="36" spans="2:15" ht="14.25" thickBot="1" thickTop="1">
      <c r="B36" t="s">
        <v>2</v>
      </c>
      <c r="C36" s="14">
        <v>0</v>
      </c>
      <c r="F36" t="s">
        <v>2</v>
      </c>
      <c r="G36" s="14">
        <v>443.2490361467335</v>
      </c>
      <c r="H36" s="88" t="s">
        <v>19</v>
      </c>
      <c r="J36" s="85" t="s">
        <v>2</v>
      </c>
      <c r="K36" s="86">
        <v>-4.092726157978177E-12</v>
      </c>
      <c r="N36" s="85" t="s">
        <v>2</v>
      </c>
      <c r="O36" s="86">
        <v>-156.75096382432275</v>
      </c>
    </row>
    <row r="37" spans="2:15" ht="14.25" thickBot="1" thickTop="1">
      <c r="B37" s="85" t="s">
        <v>94</v>
      </c>
      <c r="C37" s="86">
        <v>2642.2490361756772</v>
      </c>
      <c r="F37" t="s">
        <v>94</v>
      </c>
      <c r="G37" s="14">
        <v>2642.2490361467335</v>
      </c>
      <c r="J37" t="s">
        <v>94</v>
      </c>
      <c r="K37" s="14">
        <v>2199</v>
      </c>
      <c r="N37" t="s">
        <v>94</v>
      </c>
      <c r="O37" s="14">
        <v>2642.2490361756772</v>
      </c>
    </row>
    <row r="38" spans="2:16" ht="14.25" thickBot="1" thickTop="1">
      <c r="B38" s="85" t="s">
        <v>95</v>
      </c>
      <c r="C38" s="87">
        <v>0.09120000001020681</v>
      </c>
      <c r="F38" s="85" t="s">
        <v>95</v>
      </c>
      <c r="G38" s="87">
        <v>0.2810528020083718</v>
      </c>
      <c r="J38" s="85" t="s">
        <v>95</v>
      </c>
      <c r="K38" s="87">
        <v>0.2810528020083718</v>
      </c>
      <c r="N38" s="85" t="s">
        <v>95</v>
      </c>
      <c r="O38" s="87">
        <v>0.03893461493605047</v>
      </c>
      <c r="P38" s="1" t="s">
        <v>19</v>
      </c>
    </row>
    <row r="39" spans="1:3" ht="13.5" thickTop="1">
      <c r="A39" t="s">
        <v>19</v>
      </c>
      <c r="C39" s="2" t="s">
        <v>19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5">
      <selection activeCell="C33" sqref="C33"/>
    </sheetView>
  </sheetViews>
  <sheetFormatPr defaultColWidth="9.140625" defaultRowHeight="12.75"/>
  <cols>
    <col min="2" max="2" width="12.00390625" style="0" bestFit="1" customWidth="1"/>
    <col min="3" max="3" width="9.7109375" style="0" bestFit="1" customWidth="1"/>
    <col min="6" max="6" width="12.00390625" style="0" bestFit="1" customWidth="1"/>
    <col min="7" max="7" width="10.7109375" style="0" bestFit="1" customWidth="1"/>
  </cols>
  <sheetData>
    <row r="1" ht="12.75">
      <c r="A1" t="s">
        <v>36</v>
      </c>
    </row>
    <row r="2" ht="12.75">
      <c r="A2" t="s">
        <v>32</v>
      </c>
    </row>
    <row r="3" ht="12.75">
      <c r="A3" t="s">
        <v>33</v>
      </c>
    </row>
    <row r="5" ht="12.75">
      <c r="A5" t="s">
        <v>39</v>
      </c>
    </row>
    <row r="6" ht="12.75">
      <c r="B6" t="s">
        <v>40</v>
      </c>
    </row>
    <row r="8" ht="12.75">
      <c r="A8" t="s">
        <v>96</v>
      </c>
    </row>
    <row r="9" ht="12.75">
      <c r="B9" t="s">
        <v>41</v>
      </c>
    </row>
    <row r="11" ht="12.75">
      <c r="A11" t="s">
        <v>42</v>
      </c>
    </row>
    <row r="12" ht="12.75">
      <c r="B12" t="s">
        <v>40</v>
      </c>
    </row>
    <row r="14" ht="12.75">
      <c r="A14" t="s">
        <v>37</v>
      </c>
    </row>
    <row r="16" ht="12.75">
      <c r="A16" t="s">
        <v>38</v>
      </c>
    </row>
    <row r="18" ht="13.5" thickBot="1"/>
    <row r="19" spans="2:12" ht="13.5" thickBot="1">
      <c r="B19" s="8" t="s">
        <v>1</v>
      </c>
      <c r="C19" s="9" t="s">
        <v>0</v>
      </c>
      <c r="D19" s="4" t="s">
        <v>5</v>
      </c>
      <c r="F19" s="8" t="s">
        <v>1</v>
      </c>
      <c r="G19" s="9" t="s">
        <v>0</v>
      </c>
      <c r="H19" s="4" t="s">
        <v>5</v>
      </c>
      <c r="J19" s="8" t="s">
        <v>1</v>
      </c>
      <c r="K19" s="9" t="s">
        <v>0</v>
      </c>
      <c r="L19" s="4" t="s">
        <v>5</v>
      </c>
    </row>
    <row r="20" spans="2:12" ht="12.75">
      <c r="B20" s="5">
        <v>0</v>
      </c>
      <c r="C20" s="40">
        <v>-18521.182274409042</v>
      </c>
      <c r="D20" s="1">
        <v>0.007599999999999999</v>
      </c>
      <c r="F20" s="5">
        <v>0</v>
      </c>
      <c r="G20" s="40">
        <v>-15000</v>
      </c>
      <c r="H20" s="1">
        <v>0.007599999999999999</v>
      </c>
      <c r="J20" s="5">
        <v>0</v>
      </c>
      <c r="K20" s="40">
        <v>-19000</v>
      </c>
      <c r="L20" s="1">
        <v>0.007599999999999999</v>
      </c>
    </row>
    <row r="21" spans="2:11" ht="12.75">
      <c r="B21" s="5">
        <v>1</v>
      </c>
      <c r="C21" s="12">
        <v>563</v>
      </c>
      <c r="F21" s="5">
        <v>1</v>
      </c>
      <c r="G21" s="12">
        <v>563</v>
      </c>
      <c r="J21" s="5">
        <v>1</v>
      </c>
      <c r="K21" s="12">
        <v>563</v>
      </c>
    </row>
    <row r="22" spans="2:11" ht="12.75">
      <c r="B22" s="5">
        <v>2</v>
      </c>
      <c r="C22" s="12">
        <v>563</v>
      </c>
      <c r="F22" s="5">
        <v>2</v>
      </c>
      <c r="G22" s="12">
        <v>563</v>
      </c>
      <c r="J22" s="5">
        <v>2</v>
      </c>
      <c r="K22" s="12">
        <v>563</v>
      </c>
    </row>
    <row r="23" spans="2:11" ht="12.75">
      <c r="B23" s="5">
        <v>3</v>
      </c>
      <c r="C23" s="12">
        <v>563</v>
      </c>
      <c r="F23" s="5">
        <v>3</v>
      </c>
      <c r="G23" s="12">
        <v>563</v>
      </c>
      <c r="J23" s="5">
        <v>3</v>
      </c>
      <c r="K23" s="12">
        <v>563</v>
      </c>
    </row>
    <row r="24" spans="2:11" ht="12.75">
      <c r="B24" s="5" t="s">
        <v>19</v>
      </c>
      <c r="C24" s="40" t="s">
        <v>34</v>
      </c>
      <c r="F24" s="5" t="s">
        <v>19</v>
      </c>
      <c r="G24" s="40" t="s">
        <v>34</v>
      </c>
      <c r="J24" s="5" t="s">
        <v>19</v>
      </c>
      <c r="K24" s="40" t="s">
        <v>34</v>
      </c>
    </row>
    <row r="25" spans="2:11" ht="12.75">
      <c r="B25" s="5">
        <v>37</v>
      </c>
      <c r="C25" s="12">
        <v>563</v>
      </c>
      <c r="F25" s="5">
        <v>37</v>
      </c>
      <c r="G25" s="12">
        <v>563</v>
      </c>
      <c r="J25" s="5">
        <v>37</v>
      </c>
      <c r="K25" s="12">
        <v>563</v>
      </c>
    </row>
    <row r="26" spans="2:11" ht="13.5" thickBot="1">
      <c r="B26" s="6">
        <v>38</v>
      </c>
      <c r="C26" s="13">
        <v>563</v>
      </c>
      <c r="F26" s="6">
        <v>38</v>
      </c>
      <c r="G26" s="13">
        <v>563</v>
      </c>
      <c r="J26" s="6">
        <v>38</v>
      </c>
      <c r="K26" s="13">
        <v>563</v>
      </c>
    </row>
    <row r="27" spans="2:11" ht="12.75">
      <c r="B27" s="33"/>
      <c r="C27" s="35"/>
      <c r="F27" s="33"/>
      <c r="G27" s="35"/>
      <c r="J27" s="33"/>
      <c r="K27" s="35"/>
    </row>
    <row r="28" spans="2:11" ht="12.75">
      <c r="B28" s="33" t="s">
        <v>92</v>
      </c>
      <c r="C28" s="35">
        <v>18521.182274409042</v>
      </c>
      <c r="F28" s="33" t="s">
        <v>92</v>
      </c>
      <c r="G28" s="35">
        <v>15000</v>
      </c>
      <c r="J28" s="33" t="s">
        <v>92</v>
      </c>
      <c r="K28" s="35">
        <v>19000</v>
      </c>
    </row>
    <row r="29" spans="2:12" ht="12.75">
      <c r="B29" t="s">
        <v>97</v>
      </c>
      <c r="C29" s="2">
        <v>18521.182274409042</v>
      </c>
      <c r="D29" t="s">
        <v>19</v>
      </c>
      <c r="F29" t="s">
        <v>97</v>
      </c>
      <c r="G29" s="89">
        <v>18521.182274409042</v>
      </c>
      <c r="H29" t="s">
        <v>19</v>
      </c>
      <c r="J29" t="s">
        <v>97</v>
      </c>
      <c r="K29" s="89">
        <v>18521.182274409042</v>
      </c>
      <c r="L29" t="s">
        <v>19</v>
      </c>
    </row>
    <row r="30" spans="2:11" ht="12.75">
      <c r="B30" t="s">
        <v>20</v>
      </c>
      <c r="C30" s="14">
        <v>18521.182274409042</v>
      </c>
      <c r="F30" t="s">
        <v>20</v>
      </c>
      <c r="G30" s="14">
        <v>18521.182274409042</v>
      </c>
      <c r="J30" t="s">
        <v>20</v>
      </c>
      <c r="K30" s="14">
        <v>18521.182274409042</v>
      </c>
    </row>
    <row r="31" spans="2:11" ht="12.75">
      <c r="B31" t="s">
        <v>2</v>
      </c>
      <c r="C31" s="14">
        <v>0</v>
      </c>
      <c r="F31" t="s">
        <v>2</v>
      </c>
      <c r="G31" s="14">
        <v>-3521.1822744090423</v>
      </c>
      <c r="J31" t="s">
        <v>2</v>
      </c>
      <c r="K31" s="14">
        <v>478.8177255909577</v>
      </c>
    </row>
    <row r="32" spans="2:11" ht="12.75">
      <c r="B32" t="s">
        <v>35</v>
      </c>
      <c r="C32" s="1">
        <v>0.0075999999999998655</v>
      </c>
      <c r="F32" t="s">
        <v>35</v>
      </c>
      <c r="G32" s="1">
        <v>0.019547131023443146</v>
      </c>
      <c r="J32" t="s">
        <v>35</v>
      </c>
      <c r="K32" s="1">
        <v>0.006223641252361595</v>
      </c>
    </row>
    <row r="33" spans="1:11" ht="12.75">
      <c r="A33" t="s">
        <v>19</v>
      </c>
      <c r="B33" t="s">
        <v>95</v>
      </c>
      <c r="C33" s="1">
        <v>0.0911999999999984</v>
      </c>
      <c r="F33" t="s">
        <v>95</v>
      </c>
      <c r="G33" s="1">
        <v>0.23456557228131775</v>
      </c>
      <c r="J33" t="s">
        <v>95</v>
      </c>
      <c r="K33" s="1">
        <v>0.07468369502833914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rjensen</dc:creator>
  <cp:keywords/>
  <dc:description/>
  <cp:lastModifiedBy>rjensen</cp:lastModifiedBy>
  <dcterms:created xsi:type="dcterms:W3CDTF">1999-10-20T13:01:20Z</dcterms:created>
  <dcterms:modified xsi:type="dcterms:W3CDTF">2000-03-12T19:28:00Z</dcterms:modified>
  <cp:category/>
  <cp:version/>
  <cp:contentType/>
  <cp:contentStatus/>
</cp:coreProperties>
</file>