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1185" windowWidth="5910" windowHeight="2970" firstSheet="1" activeTab="4"/>
  </bookViews>
  <sheets>
    <sheet name="Questions" sheetId="1" r:id="rId1"/>
    <sheet name="Effective" sheetId="2" r:id="rId2"/>
    <sheet name="Ineffective" sheetId="3" r:id="rId3"/>
    <sheet name="Yield Curve" sheetId="4" r:id="rId4"/>
    <sheet name="Calculations" sheetId="5" r:id="rId5"/>
  </sheets>
  <definedNames/>
  <calcPr fullCalcOnLoad="1"/>
</workbook>
</file>

<file path=xl/comments5.xml><?xml version="1.0" encoding="utf-8"?>
<comments xmlns="http://schemas.openxmlformats.org/spreadsheetml/2006/main">
  <authors>
    <author>Carl M. Hubbard</author>
  </authors>
  <commentList>
    <comment ref="C17"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17"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17"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18" authorId="0">
      <text>
        <r>
          <rPr>
            <b/>
            <sz val="8"/>
            <rFont val="Tahoma"/>
            <family val="0"/>
          </rPr>
          <t>Carl M. Hubbard:</t>
        </r>
        <r>
          <rPr>
            <sz val="8"/>
            <rFont val="Tahoma"/>
            <family val="0"/>
          </rPr>
          <t xml:space="preserve">
This is the payment of the accrued quarterly interest on the debt.</t>
        </r>
      </text>
    </comment>
    <comment ref="F18"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19" authorId="0">
      <text>
        <r>
          <rPr>
            <b/>
            <sz val="8"/>
            <rFont val="Tahoma"/>
            <family val="0"/>
          </rPr>
          <t>Carl M. Hubbard:</t>
        </r>
        <r>
          <rPr>
            <sz val="8"/>
            <rFont val="Tahoma"/>
            <family val="0"/>
          </rPr>
          <t xml:space="preserve">
This amount is the change in the value of the debt from the original $1 million due to a change in interest rates.  Since this is the end of the first quarter since the issuance of the debt, there is no amortization of basis adjustment.
</t>
        </r>
      </text>
    </comment>
    <comment ref="D19"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20" authorId="0">
      <text>
        <r>
          <rPr>
            <b/>
            <sz val="8"/>
            <rFont val="Tahoma"/>
            <family val="0"/>
          </rPr>
          <t>Carl M. Hubbard:</t>
        </r>
        <r>
          <rPr>
            <sz val="8"/>
            <rFont val="Tahoma"/>
            <family val="0"/>
          </rPr>
          <t xml:space="preserve">
This amount is the PV of future interest &amp; principal due on the debt discounted at 6.48% quarterly or the sum of the figures above, previous value + amortization of basis + effect of changes in rates.</t>
        </r>
      </text>
    </comment>
    <comment ref="D20" authorId="0">
      <text>
        <r>
          <rPr>
            <b/>
            <sz val="8"/>
            <rFont val="Tahoma"/>
            <family val="0"/>
          </rPr>
          <t>Carl M. Hubbard:</t>
        </r>
        <r>
          <rPr>
            <sz val="8"/>
            <rFont val="Tahoma"/>
            <family val="0"/>
          </rPr>
          <t xml:space="preserve">
Net swap settlement receivable (payable) equal to the previous period's net settlement balance plus accrued interest receivable (payable) plus payments (receipts). </t>
        </r>
      </text>
    </comment>
    <comment ref="E20"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20" authorId="0">
      <text>
        <r>
          <rPr>
            <b/>
            <sz val="8"/>
            <rFont val="Tahoma"/>
            <family val="0"/>
          </rPr>
          <t>Carl M. Hubbard:</t>
        </r>
        <r>
          <rPr>
            <sz val="8"/>
            <rFont val="Tahoma"/>
            <family val="0"/>
          </rPr>
          <t xml:space="preserve">
Total payments made for this period.</t>
        </r>
      </text>
    </comment>
    <comment ref="C22"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22"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22"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23" authorId="0">
      <text>
        <r>
          <rPr>
            <b/>
            <sz val="8"/>
            <rFont val="Tahoma"/>
            <family val="0"/>
          </rPr>
          <t>Carl M. Hubbard:</t>
        </r>
        <r>
          <rPr>
            <sz val="8"/>
            <rFont val="Tahoma"/>
            <family val="0"/>
          </rPr>
          <t xml:space="preserve">
This is the payment of the accrued quarterly interest on the debt.</t>
        </r>
      </text>
    </comment>
    <comment ref="D23" authorId="0">
      <text>
        <r>
          <rPr>
            <b/>
            <sz val="8"/>
            <rFont val="Tahoma"/>
            <family val="0"/>
          </rPr>
          <t>Carl M. Hubbard:</t>
        </r>
        <r>
          <rPr>
            <sz val="8"/>
            <rFont val="Tahoma"/>
            <family val="0"/>
          </rPr>
          <t xml:space="preserve">
This is the difference between the variable rate paid in the swap and the fixed rate received x $1 million. [ (0.0648 -0.0641)/4 x $1000000]</t>
        </r>
      </text>
    </comment>
    <comment ref="F23"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24" authorId="0">
      <text>
        <r>
          <rPr>
            <b/>
            <sz val="8"/>
            <rFont val="Tahoma"/>
            <family val="0"/>
          </rPr>
          <t>Carl M. Hubbard:</t>
        </r>
        <r>
          <rPr>
            <sz val="8"/>
            <rFont val="Tahoma"/>
            <family val="0"/>
          </rPr>
          <t xml:space="preserve">
This PMT amortizes the value of the reduction in the value of the debt at the end of the previous quarter.  FV = $1149, PV = 0, i = 0.0648/4, n = 7, ordinary annuity.</t>
        </r>
      </text>
    </comment>
    <comment ref="C25" authorId="0">
      <text>
        <r>
          <rPr>
            <b/>
            <sz val="8"/>
            <rFont val="Tahoma"/>
            <family val="0"/>
          </rPr>
          <t>Carl M. Hubbard:</t>
        </r>
        <r>
          <rPr>
            <sz val="8"/>
            <rFont val="Tahoma"/>
            <family val="0"/>
          </rPr>
          <t xml:space="preserve">
This figure plus the amortization above equals the change in the value of the debt from the previous quarter.</t>
        </r>
      </text>
    </comment>
    <comment ref="D25"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26" authorId="0">
      <text>
        <r>
          <rPr>
            <b/>
            <sz val="8"/>
            <rFont val="Tahoma"/>
            <family val="0"/>
          </rPr>
          <t>Carl M. Hubbard:</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26"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t>
        </r>
      </text>
    </comment>
    <comment ref="E26"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26" authorId="0">
      <text>
        <r>
          <rPr>
            <b/>
            <sz val="8"/>
            <rFont val="Tahoma"/>
            <family val="0"/>
          </rPr>
          <t>Carl M. Hubbard:</t>
        </r>
        <r>
          <rPr>
            <sz val="8"/>
            <rFont val="Tahoma"/>
            <family val="0"/>
          </rPr>
          <t xml:space="preserve">
Total payments made for this period.</t>
        </r>
      </text>
    </comment>
    <comment ref="C28"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28"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28"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29" authorId="0">
      <text>
        <r>
          <rPr>
            <b/>
            <sz val="8"/>
            <rFont val="Tahoma"/>
            <family val="0"/>
          </rPr>
          <t>Carl M. Hubbard:</t>
        </r>
        <r>
          <rPr>
            <sz val="8"/>
            <rFont val="Tahoma"/>
            <family val="0"/>
          </rPr>
          <t xml:space="preserve">
This is the payment of the accrued quarterly interest on the debt.</t>
        </r>
      </text>
    </comment>
    <comment ref="D29" authorId="0">
      <text>
        <r>
          <rPr>
            <b/>
            <sz val="8"/>
            <rFont val="Tahoma"/>
            <family val="0"/>
          </rPr>
          <t>Carl M. Hubbard:</t>
        </r>
        <r>
          <rPr>
            <sz val="8"/>
            <rFont val="Tahoma"/>
            <family val="0"/>
          </rPr>
          <t xml:space="preserve">
This is the difference between the variable rate paid in the swap and the fixed rate received x $1 million. [ (0.0641 -0.0641)/4 x 1000000]</t>
        </r>
      </text>
    </comment>
    <comment ref="F29"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30" authorId="0">
      <text>
        <r>
          <rPr>
            <b/>
            <sz val="8"/>
            <rFont val="Tahoma"/>
            <family val="0"/>
          </rPr>
          <t>Carl M. Hubbard:</t>
        </r>
        <r>
          <rPr>
            <sz val="8"/>
            <rFont val="Tahoma"/>
            <family val="0"/>
          </rPr>
          <t xml:space="preserve">
As of 12/31/20X1 the value of the debt equalled the original value and there is no amortization of a discount or premium.</t>
        </r>
      </text>
    </comment>
    <comment ref="C31" authorId="0">
      <text>
        <r>
          <rPr>
            <b/>
            <sz val="8"/>
            <rFont val="Tahoma"/>
            <family val="0"/>
          </rPr>
          <t>Carl M. Hubbard:</t>
        </r>
        <r>
          <rPr>
            <sz val="8"/>
            <rFont val="Tahoma"/>
            <family val="0"/>
          </rPr>
          <t xml:space="preserve">
This figure plus the amortization above equals the change in the value of the debt from the previous quarter.</t>
        </r>
      </text>
    </comment>
    <comment ref="D31"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32" authorId="0">
      <text>
        <r>
          <rPr>
            <b/>
            <sz val="8"/>
            <rFont val="Tahoma"/>
            <family val="0"/>
          </rPr>
          <t>Carl M. Hubbard:</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32"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t>
        </r>
      </text>
    </comment>
    <comment ref="E32"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32" authorId="0">
      <text>
        <r>
          <rPr>
            <b/>
            <sz val="8"/>
            <rFont val="Tahoma"/>
            <family val="0"/>
          </rPr>
          <t>Carl M. Hubbard:</t>
        </r>
        <r>
          <rPr>
            <sz val="8"/>
            <rFont val="Tahoma"/>
            <family val="0"/>
          </rPr>
          <t xml:space="preserve">
Total payments made for this period.</t>
        </r>
      </text>
    </comment>
    <comment ref="C34"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34"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34"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35" authorId="0">
      <text>
        <r>
          <rPr>
            <b/>
            <sz val="8"/>
            <rFont val="Tahoma"/>
            <family val="0"/>
          </rPr>
          <t>Carl M. Hubbard:</t>
        </r>
        <r>
          <rPr>
            <sz val="8"/>
            <rFont val="Tahoma"/>
            <family val="0"/>
          </rPr>
          <t xml:space="preserve">
This is the payment of the accrued quarterly interest on the debt.</t>
        </r>
      </text>
    </comment>
    <comment ref="D35" authorId="0">
      <text>
        <r>
          <rPr>
            <b/>
            <sz val="8"/>
            <rFont val="Tahoma"/>
            <family val="0"/>
          </rPr>
          <t>Carl M. Hubbard:</t>
        </r>
        <r>
          <rPr>
            <sz val="8"/>
            <rFont val="Tahoma"/>
            <family val="0"/>
          </rPr>
          <t xml:space="preserve">
This is the difference between the variable rate paid in the swap and the fixed rate received x $1 million. [ (0.0632 -0.0641)/4 x 1000000]</t>
        </r>
      </text>
    </comment>
    <comment ref="F35"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36" authorId="0">
      <text>
        <r>
          <rPr>
            <b/>
            <sz val="8"/>
            <rFont val="Tahoma"/>
            <family val="0"/>
          </rPr>
          <t>Carl M. Hubbard:</t>
        </r>
        <r>
          <rPr>
            <sz val="8"/>
            <rFont val="Tahoma"/>
            <family val="0"/>
          </rPr>
          <t xml:space="preserve">
This PMT amortizes the  $1074 premium on the value of the debt at the end of the previous quarter.  FV = $1074, PV = 0, i = 0.0632/4, n = 5, ordinary annuity.</t>
        </r>
      </text>
    </comment>
    <comment ref="C37" authorId="0">
      <text>
        <r>
          <rPr>
            <b/>
            <sz val="8"/>
            <rFont val="Tahoma"/>
            <family val="0"/>
          </rPr>
          <t>Carl M. Hubbard:</t>
        </r>
        <r>
          <rPr>
            <sz val="8"/>
            <rFont val="Tahoma"/>
            <family val="0"/>
          </rPr>
          <t xml:space="preserve">
This figure plus the amortization above equals the change in the value of the debt from the previous quarter.</t>
        </r>
      </text>
    </comment>
    <comment ref="D37"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38" authorId="0">
      <text>
        <r>
          <rPr>
            <b/>
            <sz val="8"/>
            <rFont val="Tahoma"/>
            <family val="0"/>
          </rPr>
          <t>Carl M. Hubbard:</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38"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t>
        </r>
      </text>
    </comment>
    <comment ref="E38"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38" authorId="0">
      <text>
        <r>
          <rPr>
            <b/>
            <sz val="8"/>
            <rFont val="Tahoma"/>
            <family val="0"/>
          </rPr>
          <t>Carl M. Hubbard:</t>
        </r>
        <r>
          <rPr>
            <sz val="8"/>
            <rFont val="Tahoma"/>
            <family val="0"/>
          </rPr>
          <t xml:space="preserve">
Total payments made for this period.</t>
        </r>
      </text>
    </comment>
    <comment ref="C40"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40"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40"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41" authorId="0">
      <text>
        <r>
          <rPr>
            <b/>
            <sz val="8"/>
            <rFont val="Tahoma"/>
            <family val="0"/>
          </rPr>
          <t>Carl M. Hubbard:</t>
        </r>
        <r>
          <rPr>
            <sz val="8"/>
            <rFont val="Tahoma"/>
            <family val="0"/>
          </rPr>
          <t xml:space="preserve">
This is the payment of the accrued quarterly interest on the debt.</t>
        </r>
      </text>
    </comment>
    <comment ref="D41" authorId="0">
      <text>
        <r>
          <rPr>
            <b/>
            <sz val="8"/>
            <rFont val="Tahoma"/>
            <family val="0"/>
          </rPr>
          <t>Carl M. Hubbard:</t>
        </r>
        <r>
          <rPr>
            <sz val="8"/>
            <rFont val="Tahoma"/>
            <family val="0"/>
          </rPr>
          <t xml:space="preserve">
This is the difference between the variable rate paid in the swap and the fixed rate received x $1 million. [ (0.076 -0.0641)/4 x 1000000]</t>
        </r>
      </text>
    </comment>
    <comment ref="F41"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42" authorId="0">
      <text>
        <r>
          <rPr>
            <b/>
            <sz val="8"/>
            <rFont val="Tahoma"/>
            <family val="0"/>
          </rPr>
          <t>Carl M. Hubbard:</t>
        </r>
        <r>
          <rPr>
            <sz val="8"/>
            <rFont val="Tahoma"/>
            <family val="0"/>
          </rPr>
          <t xml:space="preserve">
This PMT amortizes the $11356 discount on the value of the debt at the end of the previous quarter.  FV = $11355.56, PV = 0, i = 0.076/4, n = 4, ordinary annuity.</t>
        </r>
      </text>
    </comment>
    <comment ref="C43" authorId="0">
      <text>
        <r>
          <rPr>
            <b/>
            <sz val="8"/>
            <rFont val="Tahoma"/>
            <family val="0"/>
          </rPr>
          <t>Carl M. Hubbard:</t>
        </r>
        <r>
          <rPr>
            <sz val="8"/>
            <rFont val="Tahoma"/>
            <family val="0"/>
          </rPr>
          <t xml:space="preserve">
This figure plus the amortization above equals the change in the value of the debt from the previous quarter.</t>
        </r>
      </text>
    </comment>
    <comment ref="D43"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44" authorId="0">
      <text>
        <r>
          <rPr>
            <b/>
            <sz val="8"/>
            <rFont val="Tahoma"/>
            <family val="0"/>
          </rPr>
          <t>Carl M. Hubbard:</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44"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t>
        </r>
      </text>
    </comment>
    <comment ref="E44"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44" authorId="0">
      <text>
        <r>
          <rPr>
            <b/>
            <sz val="8"/>
            <rFont val="Tahoma"/>
            <family val="0"/>
          </rPr>
          <t>Carl M. Hubbard:</t>
        </r>
        <r>
          <rPr>
            <sz val="8"/>
            <rFont val="Tahoma"/>
            <family val="0"/>
          </rPr>
          <t xml:space="preserve">
Total payments made for this period.</t>
        </r>
      </text>
    </comment>
    <comment ref="C46"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46"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46"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47" authorId="0">
      <text>
        <r>
          <rPr>
            <b/>
            <sz val="8"/>
            <rFont val="Tahoma"/>
            <family val="0"/>
          </rPr>
          <t>Carl M. Hubbard:</t>
        </r>
        <r>
          <rPr>
            <sz val="8"/>
            <rFont val="Tahoma"/>
            <family val="0"/>
          </rPr>
          <t xml:space="preserve">
This is the payment of the accrued quarterly interest on the debt.</t>
        </r>
      </text>
    </comment>
    <comment ref="D47" authorId="0">
      <text>
        <r>
          <rPr>
            <b/>
            <sz val="8"/>
            <rFont val="Tahoma"/>
            <family val="0"/>
          </rPr>
          <t>Carl M. Hubbard:</t>
        </r>
        <r>
          <rPr>
            <sz val="8"/>
            <rFont val="Tahoma"/>
            <family val="0"/>
          </rPr>
          <t xml:space="preserve">
This is the difference between the variable rate paid in the swap and the fixed rate received x $1 million. [ (0.0771 -0.0641)/4 x 1000000]</t>
        </r>
      </text>
    </comment>
    <comment ref="F47"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48" authorId="0">
      <text>
        <r>
          <rPr>
            <b/>
            <sz val="8"/>
            <rFont val="Tahoma"/>
            <family val="0"/>
          </rPr>
          <t>Carl M. Hubbard:</t>
        </r>
        <r>
          <rPr>
            <sz val="8"/>
            <rFont val="Tahoma"/>
            <family val="0"/>
          </rPr>
          <t xml:space="preserve">
This PMT amortizes the $9386 discount on the value of the debt at the end of the previous quarter.  FV = $9385.87, PV = 0, i = 0.0771/4, n = 3, ordinary annuity.</t>
        </r>
      </text>
    </comment>
    <comment ref="C49" authorId="0">
      <text>
        <r>
          <rPr>
            <b/>
            <sz val="8"/>
            <rFont val="Tahoma"/>
            <family val="0"/>
          </rPr>
          <t>Carl M. Hubbard:</t>
        </r>
        <r>
          <rPr>
            <sz val="8"/>
            <rFont val="Tahoma"/>
            <family val="0"/>
          </rPr>
          <t xml:space="preserve">
This figure plus the amortization above equals the change in the value of the debt from the previous quarter.</t>
        </r>
      </text>
    </comment>
    <comment ref="D49"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50" authorId="0">
      <text>
        <r>
          <rPr>
            <b/>
            <sz val="8"/>
            <rFont val="Tahoma"/>
            <family val="0"/>
          </rPr>
          <t>Carl M. Hubbard:</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50"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t>
        </r>
      </text>
    </comment>
    <comment ref="E50"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50" authorId="0">
      <text>
        <r>
          <rPr>
            <b/>
            <sz val="8"/>
            <rFont val="Tahoma"/>
            <family val="0"/>
          </rPr>
          <t>Carl M. Hubbard:</t>
        </r>
        <r>
          <rPr>
            <sz val="8"/>
            <rFont val="Tahoma"/>
            <family val="0"/>
          </rPr>
          <t xml:space="preserve">
Total payments made for this period.</t>
        </r>
      </text>
    </comment>
    <comment ref="C52"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52"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52"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53" authorId="0">
      <text>
        <r>
          <rPr>
            <b/>
            <sz val="8"/>
            <rFont val="Tahoma"/>
            <family val="0"/>
          </rPr>
          <t>Carl M. Hubbard:</t>
        </r>
        <r>
          <rPr>
            <sz val="8"/>
            <rFont val="Tahoma"/>
            <family val="0"/>
          </rPr>
          <t xml:space="preserve">
This is the payment of the accrued quarterly interest on the debt.</t>
        </r>
      </text>
    </comment>
    <comment ref="D53" authorId="0">
      <text>
        <r>
          <rPr>
            <b/>
            <sz val="8"/>
            <rFont val="Tahoma"/>
            <family val="0"/>
          </rPr>
          <t>Carl M. Hubbard:</t>
        </r>
        <r>
          <rPr>
            <sz val="8"/>
            <rFont val="Tahoma"/>
            <family val="0"/>
          </rPr>
          <t xml:space="preserve">
This is the difference between the variable rate paid in the swap and the fixed rate received x $1 million. [ (0.0782 -0.0641)/4 x 1000000]</t>
        </r>
      </text>
    </comment>
    <comment ref="F53"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54" authorId="0">
      <text>
        <r>
          <rPr>
            <b/>
            <sz val="8"/>
            <rFont val="Tahoma"/>
            <family val="0"/>
          </rPr>
          <t>Carl M. Hubbard:</t>
        </r>
        <r>
          <rPr>
            <sz val="8"/>
            <rFont val="Tahoma"/>
            <family val="0"/>
          </rPr>
          <t xml:space="preserve">
This PMT amortizes the $6849 discount on the value of the debt at the end of the previous quarter.  FV = $6848.52, PV = 0, i = 0.0782/4, n = 2, ordinary annuity.</t>
        </r>
      </text>
    </comment>
    <comment ref="C55" authorId="0">
      <text>
        <r>
          <rPr>
            <b/>
            <sz val="8"/>
            <rFont val="Tahoma"/>
            <family val="0"/>
          </rPr>
          <t>Carl M. Hubbard:</t>
        </r>
        <r>
          <rPr>
            <sz val="8"/>
            <rFont val="Tahoma"/>
            <family val="0"/>
          </rPr>
          <t xml:space="preserve">
This figure plus the amortization above equals the change in the value of the debt from the previous quarter.</t>
        </r>
      </text>
    </comment>
    <comment ref="D55"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56" authorId="0">
      <text>
        <r>
          <rPr>
            <b/>
            <sz val="8"/>
            <rFont val="Tahoma"/>
            <family val="0"/>
          </rPr>
          <t>Carl M. Hubbard:</t>
        </r>
        <r>
          <rPr>
            <sz val="8"/>
            <rFont val="Tahoma"/>
            <family val="0"/>
          </rPr>
          <t xml:space="preserve">
Present value of the future interest and principal of the debt discounted at the current quarter's interest rate/4.  it is also the sum of the previous quarter's value plus interest accrued, interest paid, amortizations of basis adjustment, and effect of change in rates.</t>
        </r>
      </text>
    </comment>
    <comment ref="D56"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t>
        </r>
      </text>
    </comment>
    <comment ref="E56"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56" authorId="0">
      <text>
        <r>
          <rPr>
            <b/>
            <sz val="8"/>
            <rFont val="Tahoma"/>
            <family val="0"/>
          </rPr>
          <t>Carl M. Hubbard:</t>
        </r>
        <r>
          <rPr>
            <sz val="8"/>
            <rFont val="Tahoma"/>
            <family val="0"/>
          </rPr>
          <t xml:space="preserve">
Total payments made for this period.</t>
        </r>
      </text>
    </comment>
    <comment ref="C58" authorId="0">
      <text>
        <r>
          <rPr>
            <b/>
            <sz val="8"/>
            <rFont val="Tahoma"/>
            <family val="0"/>
          </rPr>
          <t>Carl M. Hubbard:</t>
        </r>
        <r>
          <rPr>
            <sz val="8"/>
            <rFont val="Tahoma"/>
            <family val="0"/>
          </rPr>
          <t xml:space="preserve">
This is the accrued quarterly interest on the face value of the $1 million debt at 6.41%/annum or 0.0641/4 per quarter.</t>
        </r>
      </text>
    </comment>
    <comment ref="D58" authorId="0">
      <text>
        <r>
          <rPr>
            <b/>
            <sz val="8"/>
            <rFont val="Tahoma"/>
            <family val="0"/>
          </rPr>
          <t>Carl M. Hubbard:</t>
        </r>
        <r>
          <rPr>
            <sz val="8"/>
            <rFont val="Tahoma"/>
            <family val="0"/>
          </rPr>
          <t xml:space="preserve">
Current quarter accrued interest receivable (payable) on the previous quarter's net swap balance receivable (payable) at the variable rate as of the end of the previous quarter.  It is also the difference between the swap payment amount and the amortization of the basis adjustment.</t>
        </r>
      </text>
    </comment>
    <comment ref="E58" authorId="0">
      <text>
        <r>
          <rPr>
            <b/>
            <sz val="8"/>
            <rFont val="Tahoma"/>
            <family val="0"/>
          </rPr>
          <t>Carl M. Hubbard:</t>
        </r>
        <r>
          <rPr>
            <sz val="8"/>
            <rFont val="Tahoma"/>
            <family val="0"/>
          </rPr>
          <t xml:space="preserve">
Interest on the face value of the debt plus accrued interest payable or receivable on the previous period's net swap settlement balance.</t>
        </r>
      </text>
    </comment>
    <comment ref="C59" authorId="0">
      <text>
        <r>
          <rPr>
            <b/>
            <sz val="8"/>
            <rFont val="Tahoma"/>
            <family val="0"/>
          </rPr>
          <t>Carl M. Hubbard:</t>
        </r>
        <r>
          <rPr>
            <sz val="8"/>
            <rFont val="Tahoma"/>
            <family val="0"/>
          </rPr>
          <t xml:space="preserve">
This is the payment of the accrued quarterly interest on the debt.</t>
        </r>
      </text>
    </comment>
    <comment ref="D59" authorId="0">
      <text>
        <r>
          <rPr>
            <b/>
            <sz val="8"/>
            <rFont val="Tahoma"/>
            <family val="0"/>
          </rPr>
          <t>Carl M. Hubbard:</t>
        </r>
        <r>
          <rPr>
            <sz val="8"/>
            <rFont val="Tahoma"/>
            <family val="0"/>
          </rPr>
          <t xml:space="preserve">
This is the difference between the variable rate paid in the swap and the fixed rate received x $1 million. [ (0.0742 -0.0641)/4 x 1000000]</t>
        </r>
      </text>
    </comment>
    <comment ref="F59" authorId="0">
      <text>
        <r>
          <rPr>
            <b/>
            <sz val="8"/>
            <rFont val="Tahoma"/>
            <family val="0"/>
          </rPr>
          <t>Carl M. Hubbard:</t>
        </r>
        <r>
          <rPr>
            <sz val="8"/>
            <rFont val="Tahoma"/>
            <family val="0"/>
          </rPr>
          <t xml:space="preserve">
This figure is the sum of all payments of interest for this period including payments (receipts) on swaps.</t>
        </r>
      </text>
    </comment>
    <comment ref="C60" authorId="0">
      <text>
        <r>
          <rPr>
            <b/>
            <sz val="8"/>
            <rFont val="Tahoma"/>
            <family val="0"/>
          </rPr>
          <t>Carl M. Hubbard:</t>
        </r>
        <r>
          <rPr>
            <sz val="8"/>
            <rFont val="Tahoma"/>
            <family val="0"/>
          </rPr>
          <t xml:space="preserve">
This PMT amortizes the $2479 discount on the value of the debt at the end of the previous quarter.  PV = $2479.01, FV = 0, i = 0.0742/4, n = 1, ordinary annnuity.</t>
        </r>
      </text>
    </comment>
    <comment ref="C61" authorId="0">
      <text>
        <r>
          <rPr>
            <b/>
            <sz val="8"/>
            <rFont val="Tahoma"/>
            <family val="0"/>
          </rPr>
          <t>Carl M. Hubbard:</t>
        </r>
        <r>
          <rPr>
            <sz val="8"/>
            <rFont val="Tahoma"/>
            <family val="0"/>
          </rPr>
          <t xml:space="preserve">
Since the debt is paid at the end of this quarter, there is no effect from a change in interest rates.</t>
        </r>
      </text>
    </comment>
    <comment ref="D61" authorId="0">
      <text>
        <r>
          <rPr>
            <b/>
            <sz val="8"/>
            <rFont val="Tahoma"/>
            <family val="0"/>
          </rPr>
          <t>Carl M. Hubbard:</t>
        </r>
        <r>
          <rPr>
            <sz val="8"/>
            <rFont val="Tahoma"/>
            <family val="0"/>
          </rPr>
          <t xml:space="preserve">
When the variable rate decreases (increases), the received-fixed, pay-variable swap results in a theoretical net settlement receivable (payable) for the current period equal to the effect of the change in rates.</t>
        </r>
      </text>
    </comment>
    <comment ref="C62" authorId="0">
      <text>
        <r>
          <rPr>
            <b/>
            <sz val="8"/>
            <rFont val="Tahoma"/>
            <family val="0"/>
          </rPr>
          <t>Carl M. Hubbard:</t>
        </r>
        <r>
          <rPr>
            <sz val="8"/>
            <rFont val="Tahoma"/>
            <family val="0"/>
          </rPr>
          <t xml:space="preserve">
Example 2 does not show the payment of the principal, but obviously the $1,000,000 principal is repaid at the end of the 8th quarter.</t>
        </r>
      </text>
    </comment>
    <comment ref="D62" authorId="0">
      <text>
        <r>
          <rPr>
            <b/>
            <sz val="8"/>
            <rFont val="Tahoma"/>
            <family val="0"/>
          </rPr>
          <t>Carl M. Hubbard:</t>
        </r>
        <r>
          <rPr>
            <sz val="8"/>
            <rFont val="Tahoma"/>
            <family val="0"/>
          </rPr>
          <t xml:space="preserve">
Net settlement balance receivable (payable) including the previous period's net settlement balance plus accrued interest receivable (payable) plus payments (receipts).  The zero balance is insured by the assumed effectiveness of the hedge.</t>
        </r>
      </text>
    </comment>
    <comment ref="E62" authorId="0">
      <text>
        <r>
          <rPr>
            <b/>
            <sz val="8"/>
            <rFont val="Tahoma"/>
            <family val="0"/>
          </rPr>
          <t>Carl M. Hubbard:</t>
        </r>
        <r>
          <rPr>
            <sz val="8"/>
            <rFont val="Tahoma"/>
            <family val="0"/>
          </rPr>
          <t xml:space="preserve">
Total interest expense is the accrued interest on the principal value of the debt plus any amortization of basis adjustment.</t>
        </r>
      </text>
    </comment>
    <comment ref="F62" authorId="0">
      <text>
        <r>
          <rPr>
            <b/>
            <sz val="8"/>
            <rFont val="Tahoma"/>
            <family val="0"/>
          </rPr>
          <t>Carl M. Hubbard:</t>
        </r>
        <r>
          <rPr>
            <sz val="8"/>
            <rFont val="Tahoma"/>
            <family val="0"/>
          </rPr>
          <t xml:space="preserve">
Total payments made for this period.</t>
        </r>
      </text>
    </comment>
  </commentList>
</comments>
</file>

<file path=xl/sharedStrings.xml><?xml version="1.0" encoding="utf-8"?>
<sst xmlns="http://schemas.openxmlformats.org/spreadsheetml/2006/main" count="1330" uniqueCount="337">
  <si>
    <t>curve for Quarter 1.  In fact, there are an infinite number of possible yield curves</t>
  </si>
  <si>
    <t>that can be used to derive the amortizations given in the FASB's solution to</t>
  </si>
  <si>
    <t>Example 2 in SFAS 133.</t>
  </si>
  <si>
    <t>The Quarter 1 change in swap value is ($1,149) with a $156 Quarter 2 amortizaton in</t>
  </si>
  <si>
    <t>of $156 must accumulate to ($1,149).  The interest rate that will allow payments of</t>
  </si>
  <si>
    <t xml:space="preserve">$156 to accumulate to this value can be computed from Excel'a RATE function.  If </t>
  </si>
  <si>
    <t xml:space="preserve">the rate is known, however, Excel's PMT function can be used to computer the </t>
  </si>
  <si>
    <t>amortization amount.  These calculations for Quarter 2 are as follows:</t>
  </si>
  <si>
    <t>= present value of $156.34 for seven periods at the 1.62% quarterly rate</t>
  </si>
  <si>
    <t>= quarterly rate for $156.34 to accumulate to ($1,149)</t>
  </si>
  <si>
    <t>= future value of $156.34 for seven periods at the 1.62% quarterly rate</t>
  </si>
  <si>
    <r>
      <t xml:space="preserve">the Example 2 solution provided by the FASB.  </t>
    </r>
    <r>
      <rPr>
        <b/>
        <i/>
        <sz val="10"/>
        <rFont val="Arial"/>
        <family val="2"/>
      </rPr>
      <t>Ceteris-paribus</t>
    </r>
    <r>
      <rPr>
        <b/>
        <sz val="10"/>
        <rFont val="Arial"/>
        <family val="2"/>
      </rPr>
      <t>, seven payments</t>
    </r>
  </si>
  <si>
    <t>of the note is in doubt, the "value" of the debt can clearly fall below the values computed</t>
  </si>
  <si>
    <t xml:space="preserve">There is potential credit risk on the part of the ABC Company.  If repayment  </t>
  </si>
  <si>
    <t>change in ABC's outstanding debt.  The swap agreement should be very clear on just</t>
  </si>
  <si>
    <t>own debt than actions by XYZ Company.</t>
  </si>
  <si>
    <t>how debt is to be valued.  If the market for the debt is very thin, bid and ask prices</t>
  </si>
  <si>
    <t xml:space="preserve">ABC might write (sell) options on the debt in a way that price movements are </t>
  </si>
  <si>
    <t>the swap payment cash outflow soared to $2,975 bringing the note plus swap</t>
  </si>
  <si>
    <t>The company has in effect converted a fixed rate note into a variable rate</t>
  </si>
  <si>
    <t>Note</t>
  </si>
  <si>
    <t>this SFAS 133 Example 2 is paying a fixed interest rate on the note and has a variable</t>
  </si>
  <si>
    <t xml:space="preserve">swap than will ABC Company.  ABC's obligation on the each note is fixed at 6.41% </t>
  </si>
  <si>
    <t xml:space="preserve">How might ABC Company hedge against these debt value fluctuations without </t>
  </si>
  <si>
    <t>Notes payable</t>
  </si>
  <si>
    <t xml:space="preserve">    Fair Value Hedge of Fixed-Rate Interest-Bearing Debt</t>
  </si>
  <si>
    <t>This is Bob Jensen's answer file.</t>
  </si>
  <si>
    <t>Quarter</t>
  </si>
  <si>
    <t>Principal</t>
  </si>
  <si>
    <t>FMV</t>
  </si>
  <si>
    <t>07/01/x1</t>
  </si>
  <si>
    <t>09/30/x1</t>
  </si>
  <si>
    <t>12/31/x1</t>
  </si>
  <si>
    <t>03/31/x1</t>
  </si>
  <si>
    <t>06/30/x2</t>
  </si>
  <si>
    <t xml:space="preserve"> </t>
  </si>
  <si>
    <t>Debit</t>
  </si>
  <si>
    <t>Balance</t>
  </si>
  <si>
    <t>Cash</t>
  </si>
  <si>
    <t>Interest rate swaps receivable/payable</t>
  </si>
  <si>
    <t>-This entry is not necessary in the real world since the swap had no cost.</t>
  </si>
  <si>
    <t>Original</t>
  </si>
  <si>
    <t>Current</t>
  </si>
  <si>
    <t>Swap</t>
  </si>
  <si>
    <t>Amortization</t>
  </si>
  <si>
    <t>Interest</t>
  </si>
  <si>
    <t>Value</t>
  </si>
  <si>
    <t>Rate</t>
  </si>
  <si>
    <t>Adjustment</t>
  </si>
  <si>
    <t>06/30/x3</t>
  </si>
  <si>
    <t>Retained earnings</t>
  </si>
  <si>
    <t>09/30/x2</t>
  </si>
  <si>
    <t>12/31/x2</t>
  </si>
  <si>
    <t>03/31/x3</t>
  </si>
  <si>
    <t xml:space="preserve">                   Call (800) 748-0659 or go to web site http://www.rutgers.edu/Accounting/raw/fasb/home2.html</t>
  </si>
  <si>
    <t xml:space="preserve">                   Copies are $11.50 each and are subject to academic discounting.</t>
  </si>
  <si>
    <t>Statement on derivatives is available as Publication Number 186-B, June 1998, Product Code S133</t>
  </si>
  <si>
    <t xml:space="preserve">                   FASB Statement No. 133, Accounting for Derivative  Instruments and Hedging Activities</t>
  </si>
  <si>
    <t xml:space="preserve">  SFAS 133 replaces the Exposure Draft publication Number 162-B, June 1996</t>
  </si>
  <si>
    <t>Interest expense/revenue</t>
  </si>
  <si>
    <t>-To close interest expense/revenue</t>
  </si>
  <si>
    <t xml:space="preserve">The interest rate swap in this case is settled in such a way that the market </t>
  </si>
  <si>
    <t>value of the debt plus (or minus) the recorded swap value always is equal</t>
  </si>
  <si>
    <t xml:space="preserve">to the face value of the debt.  For example, for the third quarter (ended on </t>
  </si>
  <si>
    <t>March 31, 20x2) in Example 2, the adjusted basis of the debt plus the</t>
  </si>
  <si>
    <t xml:space="preserve">the debt is below face value such that swap becomes a swap payable with a </t>
  </si>
  <si>
    <t xml:space="preserve">credit balance.  For example, at the end of Quarter 4 ending on June 30, 20x2 </t>
  </si>
  <si>
    <t xml:space="preserve"> the equation become ($988,645) + ($11,355) = $1,000,000.in combined</t>
  </si>
  <si>
    <t>fair market value.</t>
  </si>
  <si>
    <t>In terms of cash flows, why is this "hedge" of fair market value really a speculation in</t>
  </si>
  <si>
    <t>terms of swap cash flows?</t>
  </si>
  <si>
    <t>Swap cash outflows are equal to amount of change in fair market value of</t>
  </si>
  <si>
    <t>the debt.  Various factors can contribute to this value change, the most important</t>
  </si>
  <si>
    <t>of which is usually interest rate fluctuation.  If interest rates rise ceterus paribus,</t>
  </si>
  <si>
    <t xml:space="preserve">enormous swap payments.  For example, in Quarter 5 ended on June 30, 20x2 </t>
  </si>
  <si>
    <t>the value of the debt declines and vice versa for declines in interest rates.  Huge</t>
  </si>
  <si>
    <t>payments to $16,025 + $2,975 = $19,000.</t>
  </si>
  <si>
    <t>jumps in interest rates that cause the debt's value to plunge will result in</t>
  </si>
  <si>
    <t xml:space="preserve">In a sense the SFAS 133 proposal for fair value swaps such as this do not </t>
  </si>
  <si>
    <t>disclose that the "hedge" is really a risky speculation in terms of cash flows.</t>
  </si>
  <si>
    <t>speculation.  Presumably, the motivation is an anticipation of declining rather than</t>
  </si>
  <si>
    <t>rising interest rates.  In Example 2, interest rates rose in in seven out of the eight</t>
  </si>
  <si>
    <t>quarters.  Hence the swap was a very bad deal and lost $12,225 =</t>
  </si>
  <si>
    <t xml:space="preserve">&amp;140,425 - ($16,025)(8).  </t>
  </si>
  <si>
    <t>Payment</t>
  </si>
  <si>
    <t>Total =</t>
  </si>
  <si>
    <t>Debt and swap current values are compared below:</t>
  </si>
  <si>
    <t>How does a company obtain a swap such as this one that is a fair value hedge</t>
  </si>
  <si>
    <t>Most interest rate swaps not traded in the open market.  They are custom swaps</t>
  </si>
  <si>
    <t>that are usually arranged by third party financial institutions.  The ABC Company in</t>
  </si>
  <si>
    <t>swap payment.  The other party to the swap may either be speculating that interest</t>
  </si>
  <si>
    <t xml:space="preserve">rates will rise or that the note's value will decline for other reasons.  </t>
  </si>
  <si>
    <t>It would be very difficult to create a fully effective swap using market based contracts.</t>
  </si>
  <si>
    <t>Suppose XYZ Company is the party that entered into the Example 2 swap with the</t>
  </si>
  <si>
    <t>ABC Company.  In a sense, XYZ Company will have a more difficult time valuing the</t>
  </si>
  <si>
    <t>per year.  XYZ's swap receipts or payments are variable depending upon the value</t>
  </si>
  <si>
    <t xml:space="preserve">may not be influenced by various factors other than interest rate movements in the  </t>
  </si>
  <si>
    <t xml:space="preserve">economy.  Actions by ABC Company may have more influence on the price of their  </t>
  </si>
  <si>
    <t>The bottom line is that auditors for both ABC Company and XYZ company must look</t>
  </si>
  <si>
    <t>very carefully at how the debt and swaps are valued.  The final accounting is not quite</t>
  </si>
  <si>
    <t>so simple as in an example where fair market values are simply assumed in the</t>
  </si>
  <si>
    <t>illustration.</t>
  </si>
  <si>
    <t xml:space="preserve">Limited guidance on fair value swap contracting is given in SFAS 133, pp. 11-17, </t>
  </si>
  <si>
    <t>Paragraphs 20-22.</t>
  </si>
  <si>
    <t xml:space="preserve">hedged.  </t>
  </si>
  <si>
    <t xml:space="preserve">See SFAS 133, p. 12, Paragraph 20c for a discussion of written options </t>
  </si>
  <si>
    <t>using an interest rate swap?</t>
  </si>
  <si>
    <t xml:space="preserve">In custom contracts, the financial institution that brokered the swap usually will </t>
  </si>
  <si>
    <t>contract to make good on the defaulted swap payments of either party.  Hence,</t>
  </si>
  <si>
    <t xml:space="preserve">risk of default on swap payments to be received by ABC company are not in </t>
  </si>
  <si>
    <t>great jeopardy.</t>
  </si>
  <si>
    <t>Estimated</t>
  </si>
  <si>
    <t>Debt</t>
  </si>
  <si>
    <t>-To record a fixed rate Debt payable</t>
  </si>
  <si>
    <t>Paragraph 117 Data of SFAS 133 (No ineffectiveness)</t>
  </si>
  <si>
    <t>= Question Number</t>
  </si>
  <si>
    <t>Example 2 of SFAS 133, pp. 61-67, Paragraphs 111-120.</t>
  </si>
  <si>
    <t>Fair Value Hedge of Fixed-Rate Interest-Bearing Debt</t>
  </si>
  <si>
    <t>Questions</t>
  </si>
  <si>
    <t>Annual</t>
  </si>
  <si>
    <t>Percent</t>
  </si>
  <si>
    <t>Change</t>
  </si>
  <si>
    <t>in Debt</t>
  </si>
  <si>
    <t>FMV%</t>
  </si>
  <si>
    <t>(Credit)</t>
  </si>
  <si>
    <t>Prior to assigning the questions below, students are given the Sheet 2 journal entries with some</t>
  </si>
  <si>
    <t>numbers missing (red question marks).  Their first task is to complete Sheet 2.</t>
  </si>
  <si>
    <t>What paragraphs in SFAS 133 (other than Paragraphs 104-293) prescribe the</t>
  </si>
  <si>
    <t>Summarize the prescribed rule for this fair value hedge of a forecasted</t>
  </si>
  <si>
    <t>transaction.</t>
  </si>
  <si>
    <t xml:space="preserve">Paragraph 22 on Page 15 of SFAS 133 states:  "The gain or loss on the hedging </t>
  </si>
  <si>
    <t>instrument shall be recognized currently in earnings."  It goes on to state that</t>
  </si>
  <si>
    <t>ineffective hedge treatment journal entries in Example 2?</t>
  </si>
  <si>
    <t>the gain or loss is equal to the change in fair value of the derivative contract.</t>
  </si>
  <si>
    <t>More elaboration is provided in Paragraphs 363-369 on Pages 168-170.</t>
  </si>
  <si>
    <t xml:space="preserve">Warning:  This file is best viewed in Excel software rather than in a web browser.  </t>
  </si>
  <si>
    <t>On that same date, ABC also enters into a two-year receive-fixed, pay-variable interest rate</t>
  </si>
  <si>
    <t xml:space="preserve">swap.   ABC designates the interest rate swap as a hedge of the changes in the fair value </t>
  </si>
  <si>
    <t>of the fixed-rate debt attributable to changes in market interest rates.  The terms of the</t>
  </si>
  <si>
    <t>interest rate swap and the debt are shown in Sheet 2.</t>
  </si>
  <si>
    <t>Example 2 of SFAS 133, Page 63, Paragraph 115</t>
  </si>
  <si>
    <t>What is missing in SFAS 133 for computation of the interest accruals shown in the</t>
  </si>
  <si>
    <t>Hint:  See the comments on the various cells in Sheet 2.</t>
  </si>
  <si>
    <t>The FASB decided not to provide the yield curve for any example in SFAS 133</t>
  </si>
  <si>
    <t>and not to explain alternative methods of computing accruals derived from yield</t>
  </si>
  <si>
    <t>curves.  You can read more about this at the following web document:</t>
  </si>
  <si>
    <t>http://www.cs.trinity.edu/~rjensen/133accr.htm</t>
  </si>
  <si>
    <t>Yield curves are defined at the following web site:</t>
  </si>
  <si>
    <t>http://www.cs.trinity.edu/~rjensen/133glosf.htm</t>
  </si>
  <si>
    <t>You must be able to describe how to compute any number in Sheet 2.</t>
  </si>
  <si>
    <t>What is meant by a "fair value hedge" of fixed rate debt?  Explain in terms</t>
  </si>
  <si>
    <t>of the Example 2 in Sheet 2.</t>
  </si>
  <si>
    <t>table in Paragraph 117 on Page 65?  For example, why can't readers of SFAS 133</t>
  </si>
  <si>
    <t>derive the  interest accruals 19, 17, 216, 181, 134, and 46?</t>
  </si>
  <si>
    <t>03/31/x2</t>
  </si>
  <si>
    <t>present values or their equivalent yields to maturity are needed to derive the yield</t>
  </si>
  <si>
    <t>What is the yield curve for the note's FMV on 9/30/x1 at the end of Quarter 1?</t>
  </si>
  <si>
    <t>At the end of Quarter 1, there are 8-1=7 quarters remaining.  In Example 2, the</t>
  </si>
  <si>
    <t>FASB does not provide the Time 1 present values for the seven quarters.  These</t>
  </si>
  <si>
    <t>= amortization of the change in FMV for the next seven quarters.</t>
  </si>
  <si>
    <t xml:space="preserve">($1,001,074) + $1,074 = ($1,000,000).  In all other quarters, the adjusted value of </t>
  </si>
  <si>
    <t>When you compare Page 65 of Example 2 with Page 75 of Example 5 in SFAS 133,</t>
  </si>
  <si>
    <t>you notice that basis adjustments are amortized in Page 65 but not in Page 75.</t>
  </si>
  <si>
    <t>Please explain the reason why.</t>
  </si>
  <si>
    <t>Example 2 is a fair value hedge in contrast to the cash flow hedge in Example 5.</t>
  </si>
  <si>
    <t>In reality, it does not much matter since effects of rate changes are plugged for</t>
  </si>
  <si>
    <t>the differences whether or not the amortization is actually measured.</t>
  </si>
  <si>
    <t>Why isn't the $1 million note being hedged in Example 2 marked to market at the</t>
  </si>
  <si>
    <t>end of each quarter?  What would be the impact on the Page 65 solution if the</t>
  </si>
  <si>
    <t>note was adjusted to fair value every quarter?</t>
  </si>
  <si>
    <t>The note is apparently intended to be held to maturity such that the SFAS 133</t>
  </si>
  <si>
    <t>were adjusted every quarter for fair value, the fair value hedge in Example 2</t>
  </si>
  <si>
    <t>would not qualify as a SFAS 133 fair value hedge.  See Paragraph 405 for the</t>
  </si>
  <si>
    <t>accounting in Paragraph 428 requires that it maintained at historical cost.  If it</t>
  </si>
  <si>
    <t>FASB's reasoning on that matter.  The main reason is to avoid double counting</t>
  </si>
  <si>
    <t>of value changes in earnings.</t>
  </si>
  <si>
    <t>On July 1, 20X1, ABC Company borrows $1,000,000 to be repaid on June 30, 20X3.</t>
  </si>
  <si>
    <t>adjusted basis of the interest rate swap receivable is equal to the sum of</t>
  </si>
  <si>
    <t>3-Month</t>
  </si>
  <si>
    <t>LIBOR</t>
  </si>
  <si>
    <t>Fixed-Rate</t>
  </si>
  <si>
    <t>Interest-Rate</t>
  </si>
  <si>
    <t>Expense</t>
  </si>
  <si>
    <t>Net</t>
  </si>
  <si>
    <t>Interest accrued</t>
  </si>
  <si>
    <t>Payments (receipts)</t>
  </si>
  <si>
    <t>Effect of change in rates</t>
  </si>
  <si>
    <t>9/30/20X1</t>
  </si>
  <si>
    <t>12/31/20X1</t>
  </si>
  <si>
    <t>Periods</t>
  </si>
  <si>
    <t>remaining</t>
  </si>
  <si>
    <t>Amortization of basis adjustment</t>
  </si>
  <si>
    <t>3/31/20X2</t>
  </si>
  <si>
    <t>6/30/20X2</t>
  </si>
  <si>
    <t>9/30/20X2</t>
  </si>
  <si>
    <t>12/31/20X2</t>
  </si>
  <si>
    <t>7/1/20X1</t>
  </si>
  <si>
    <t>Example 2, Page 65 of FASB 133</t>
  </si>
  <si>
    <t>Period</t>
  </si>
  <si>
    <t>Scroll down slowly and try to follow the logic of a fair value hedge.</t>
  </si>
  <si>
    <t>Date</t>
  </si>
  <si>
    <t>Nominal</t>
  </si>
  <si>
    <t>APR Rate</t>
  </si>
  <si>
    <t>Quarterly</t>
  </si>
  <si>
    <t>Spot</t>
  </si>
  <si>
    <t>Unhedged</t>
  </si>
  <si>
    <t xml:space="preserve">Value </t>
  </si>
  <si>
    <t>Relative to</t>
  </si>
  <si>
    <t>Spot Rate</t>
  </si>
  <si>
    <t>Page 65</t>
  </si>
  <si>
    <t>of Basis</t>
  </si>
  <si>
    <t>Effect of</t>
  </si>
  <si>
    <t>in Rates</t>
  </si>
  <si>
    <t>Hedged</t>
  </si>
  <si>
    <t>Actual</t>
  </si>
  <si>
    <t>Fair Value</t>
  </si>
  <si>
    <t>Deviation</t>
  </si>
  <si>
    <t>of Value</t>
  </si>
  <si>
    <t>From LIBOR</t>
  </si>
  <si>
    <t>Estimation</t>
  </si>
  <si>
    <t xml:space="preserve">This presents an interesting dilemma.   It seems to me that the only reason for hedging fair </t>
  </si>
  <si>
    <t>value of the debt in this instance is in anticipation refinancing due to an expected plunge</t>
  </si>
  <si>
    <t>in interest rates.  If ABC Company is anticipating buying back its debt, the debt is</t>
  </si>
  <si>
    <t>not truly "Hold-to-Maturity" and should accounted for as "Available-for-Sale/Purchase).</t>
  </si>
  <si>
    <t>on the basis of interest rate movements.  As is shown in Sheet 6 (Explanation), the</t>
  </si>
  <si>
    <t>note values shown in Example 2 are not highly correlated with value change percentages</t>
  </si>
  <si>
    <t>based only on LIBOR spot rate movements.  It is not clear why this difference exists.</t>
  </si>
  <si>
    <t>Is the fair market value of the Example 2 swap really the change in value caused</t>
  </si>
  <si>
    <t>by LIBOR spot rate percentage changes?</t>
  </si>
  <si>
    <t>and a cash flow speculation?  Where do companies go for such deals?</t>
  </si>
  <si>
    <t>in this context.  However, the options may be very ineffective if debt value has a low correlation with</t>
  </si>
  <si>
    <t>the underlying of the option such as LIBOR.</t>
  </si>
  <si>
    <t>It is very difficult to find something other than a custom fair value swap that will hedge</t>
  </si>
  <si>
    <t>fair value that has a low correlation general interest movements such as LIBOR or Treasury rates.</t>
  </si>
  <si>
    <t>In Example 2, the note value changes have a relatively low correlation with LIBOR movements.</t>
  </si>
  <si>
    <t>Minus</t>
  </si>
  <si>
    <t>Interest Rate</t>
  </si>
  <si>
    <t>Cash Flow</t>
  </si>
  <si>
    <t>Receivable/</t>
  </si>
  <si>
    <t>LIBOR percentage changes.  The correlation is perfect and there should be no hedge ineffectiveness.</t>
  </si>
  <si>
    <t>Swap Cash</t>
  </si>
  <si>
    <t>Flow Minus</t>
  </si>
  <si>
    <t>Accural =</t>
  </si>
  <si>
    <t>The journal entries corresponding to the above outcomes are shown below.</t>
  </si>
  <si>
    <t>the sensitivity of the outcomes to the input values.</t>
  </si>
  <si>
    <t>The swap outcomes are shown below:</t>
  </si>
  <si>
    <t>The actual note values are compared with the estimated values below:</t>
  </si>
  <si>
    <t>Students may change the blue input values specified below:</t>
  </si>
  <si>
    <t>The actual debt value changes in Example 2 were exactly equal to the value changes based upon</t>
  </si>
  <si>
    <t>The correlation observed using to revised inputs is =</t>
  </si>
  <si>
    <r>
      <t>R</t>
    </r>
    <r>
      <rPr>
        <vertAlign val="superscript"/>
        <sz val="10"/>
        <rFont val="Arial"/>
        <family val="2"/>
      </rPr>
      <t>2</t>
    </r>
    <r>
      <rPr>
        <sz val="10"/>
        <rFont val="Arial"/>
        <family val="0"/>
      </rPr>
      <t xml:space="preserve"> =</t>
    </r>
  </si>
  <si>
    <t>Other amounts needed for the journal entries under FASB 133 are derived below:</t>
  </si>
  <si>
    <t>Hedge</t>
  </si>
  <si>
    <t>Ineffectiveness</t>
  </si>
  <si>
    <t>= net swap payments</t>
  </si>
  <si>
    <t xml:space="preserve"> Debt</t>
  </si>
  <si>
    <t>Example 2 in FAS 133 assumes a perfect correlation between changes in the value of the debt with</t>
  </si>
  <si>
    <t>changes in spot rates for LIBOR.  In real life, the correlation may be less than perfect.  In the cells</t>
  </si>
  <si>
    <t>below, it is possible to specify alternate debt fair value such that the correlation in less than perfect.</t>
  </si>
  <si>
    <t>Example 2 in FAS 133 assumes that the yield (swap) curve used to derive the swap receivable or</t>
  </si>
  <si>
    <t xml:space="preserve">payable is flat.   In real life, it is more common for parties to the swap to negotiate based upon a </t>
  </si>
  <si>
    <t xml:space="preserve">In the following table, the blue amounts asuumed in Example 2 beginning in Paragraph 111 of FAS 133 </t>
  </si>
  <si>
    <t>are filled in the cells.  Students may, however, replace the following values with other numbers to study</t>
  </si>
  <si>
    <t>nonlinear swap curve that allows for interest rate term structrure.  Before beginning the illustration,</t>
  </si>
  <si>
    <t>it will be helpful to explain how interest rate swaps are valued.</t>
  </si>
  <si>
    <t>found in Edition 2 of Derivative Securities by Robert Jarrow and Stuart Trumbull</t>
  </si>
  <si>
    <t>How are interest rate swaps valued in practice?  Illustrate this using the explanation</t>
  </si>
  <si>
    <t>(Southwestern College Publishing, 2000, pp. 434-439.)  Try to derive the</t>
  </si>
  <si>
    <t xml:space="preserve">Interest </t>
  </si>
  <si>
    <t>Rate Swap</t>
  </si>
  <si>
    <t>Valuation</t>
  </si>
  <si>
    <t>(Payable)</t>
  </si>
  <si>
    <t>ABC Company</t>
  </si>
  <si>
    <t>Sum =</t>
  </si>
  <si>
    <t>FAS 133 Example 2 swap valuations (see Page 65 FAS 133).</t>
  </si>
  <si>
    <t>Eample 2</t>
  </si>
  <si>
    <t>Consider the following calculations for the $175 swap cash flow on September 30:</t>
  </si>
  <si>
    <t>LIBOR APR</t>
  </si>
  <si>
    <t>Difference =</t>
  </si>
  <si>
    <t>APR Difference</t>
  </si>
  <si>
    <t>Days</t>
  </si>
  <si>
    <t>91/365</t>
  </si>
  <si>
    <t>Swap Value =</t>
  </si>
  <si>
    <t>($1,000,000)(.00007)(91/365) using the equation on Page 434 of Jarrow and Turnbull (2000)</t>
  </si>
  <si>
    <t>Swap Payment =</t>
  </si>
  <si>
    <t>Answers are shown below:</t>
  </si>
  <si>
    <t>The FASB does not provide the yield curve of treasury bill or Eurodollar deposits.  However,</t>
  </si>
  <si>
    <t>in Example 2, the FASB does state that the yield curve is flat (linear).  Consider the following</t>
  </si>
  <si>
    <t>alternative yield curves:</t>
  </si>
  <si>
    <t>Present Value</t>
  </si>
  <si>
    <t>Yield Curve</t>
  </si>
  <si>
    <t>Amount</t>
  </si>
  <si>
    <t>Swap Payment</t>
  </si>
  <si>
    <t>Value on</t>
  </si>
  <si>
    <t>Note that in real life, the yield curve probably will not be flat as shown above.  Due</t>
  </si>
  <si>
    <t>to term structure of interest rates, interest rates in later periods may be higher</t>
  </si>
  <si>
    <t>than interest rates in early periods.</t>
  </si>
  <si>
    <t xml:space="preserve">   There may be rounding error since the FASB used 90/360</t>
  </si>
  <si>
    <t>To better understand the yield (swap) curve factors, you may want to read the spreadsheet in</t>
  </si>
  <si>
    <t xml:space="preserve">this workbook entitled "Yield Curve."  For example, in that spreadsheet the following factors </t>
  </si>
  <si>
    <t>are derived for the first swap fair value adjustment on September 30:</t>
  </si>
  <si>
    <t>Flat</t>
  </si>
  <si>
    <t>Factor</t>
  </si>
  <si>
    <t>Optional</t>
  </si>
  <si>
    <t>Factors</t>
  </si>
  <si>
    <t xml:space="preserve">    There is slight rounding error below:</t>
  </si>
  <si>
    <t>Small rounding error in the above calculations.</t>
  </si>
  <si>
    <t>-To record interest swap receipt (payment)</t>
  </si>
  <si>
    <t xml:space="preserve">Debt </t>
  </si>
  <si>
    <t>Plus</t>
  </si>
  <si>
    <t>Derivation of Yield Curve Factors</t>
  </si>
  <si>
    <t>Analysis Assuming a Perfect Hedge With No Ineffectiveness</t>
  </si>
  <si>
    <t>Summary of Cash Transactions</t>
  </si>
  <si>
    <t>Sources of Cash:</t>
  </si>
  <si>
    <t>Applications of Cash:</t>
  </si>
  <si>
    <t>Payoff</t>
  </si>
  <si>
    <t>Proceeds</t>
  </si>
  <si>
    <t xml:space="preserve">          Net decrease in cash = </t>
  </si>
  <si>
    <t xml:space="preserve">http://www.trinity.edu/rjensen/acct5341/speakers/133glosf.htm </t>
  </si>
  <si>
    <t>A glossary of FAS 133 terminology is available at</t>
  </si>
  <si>
    <t>Unrealized fair value adjustment of debt (contra acct.)</t>
  </si>
  <si>
    <t>Questions Spreadsheet for Student Assignments</t>
  </si>
  <si>
    <t>What are yield curves and swap curves?</t>
  </si>
  <si>
    <t>Summary of Input to the Effectiveness Case Solution</t>
  </si>
  <si>
    <t>You may change the values shown below in blue in order to test the sensitivity of the</t>
  </si>
  <si>
    <t>Effectiveness Solution outcomes.  In particular, you should compare patterns of rising versus</t>
  </si>
  <si>
    <t>falling APR spot rates of interest (LIBOR).</t>
  </si>
  <si>
    <t>Analysis Allowing for Sensitivity Analysis Ineffectiveness</t>
  </si>
  <si>
    <t xml:space="preserve"> It will be assumed that ABC Company adjusts debt to fair value using a contra account </t>
  </si>
  <si>
    <t xml:space="preserve">called Unrealized Fair Value Adjustment of Debt.  Gains and losses in value that are not </t>
  </si>
  <si>
    <t xml:space="preserve">FAS 133, gains and losses on a fair market hedging derivative are charged to current earnings. </t>
  </si>
  <si>
    <t>-To record debt interest payment</t>
  </si>
  <si>
    <t>-To record change in debt fair value</t>
  </si>
  <si>
    <t>-To record a fixed rate debt payable</t>
  </si>
  <si>
    <t xml:space="preserve">effectively hedged are assumed to be charged interest expense in a fair value hedge.  Under </t>
  </si>
  <si>
    <t xml:space="preserve">The OCI account can only be used for cash flow hedges.  </t>
  </si>
  <si>
    <t xml:space="preserve">Interest expense(revenue)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</si>
</sst>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0.0000%"/>
    <numFmt numFmtId="167" formatCode="0_);\(0\)"/>
    <numFmt numFmtId="168" formatCode="0_);[Red]\(0\)"/>
    <numFmt numFmtId="169" formatCode="&quot;$&quot;#,##0.0_);[Red]\(&quot;$&quot;#,##0.0\)"/>
    <numFmt numFmtId="170" formatCode="0.000000_);\(0.000000\)"/>
    <numFmt numFmtId="171" formatCode="0.0%"/>
    <numFmt numFmtId="172" formatCode="0.00000"/>
    <numFmt numFmtId="173" formatCode="0.0000"/>
    <numFmt numFmtId="174" formatCode="0.00000%"/>
    <numFmt numFmtId="175" formatCode="0.000000%"/>
    <numFmt numFmtId="176" formatCode="0.00000000"/>
    <numFmt numFmtId="177" formatCode="0.0000000"/>
    <numFmt numFmtId="178" formatCode="0.000000"/>
    <numFmt numFmtId="179" formatCode="0.00_);\(0.00\)"/>
    <numFmt numFmtId="180" formatCode="0.0_);\(0.0\)"/>
    <numFmt numFmtId="181" formatCode="&quot;$&quot;#,##0.000_);[Red]\(&quot;$&quot;#,##0.000\)"/>
    <numFmt numFmtId="182" formatCode="&quot;$&quot;#,##0.0000_);[Red]\(&quot;$&quot;#,##0.0000\)"/>
    <numFmt numFmtId="183" formatCode="0.000"/>
    <numFmt numFmtId="184" formatCode="0.0"/>
    <numFmt numFmtId="185" formatCode="mmmm\ d\,\ yyyy"/>
    <numFmt numFmtId="186" formatCode="mm/dd/yy"/>
    <numFmt numFmtId="187" formatCode="&quot;$&quot;#,##0.0"/>
    <numFmt numFmtId="188" formatCode="&quot;$&quot;#,##0.00"/>
    <numFmt numFmtId="189" formatCode="&quot;$&quot;#,##0.0_);\(&quot;$&quot;#,##0.0\)"/>
    <numFmt numFmtId="190" formatCode="&quot;$&quot;#,##0.000_);\(&quot;$&quot;#,##0.000\)"/>
    <numFmt numFmtId="191" formatCode="&quot;$&quot;#,##0.0000_);\(&quot;$&quot;#,##0.0000\)"/>
    <numFmt numFmtId="192" formatCode="_(&quot;$&quot;* #,##0.0_);_(&quot;$&quot;* \(#,##0.0\);_(&quot;$&quot;* &quot;-&quot;??_);_(@_)"/>
    <numFmt numFmtId="193" formatCode="_(&quot;$&quot;* #,##0_);_(&quot;$&quot;* \(#,##0\);_(&quot;$&quot;* &quot;-&quot;??_);_(@_)"/>
    <numFmt numFmtId="194" formatCode="_(* #,##0.0_);_(* \(#,##0.0\);_(* &quot;-&quot;??_);_(@_)"/>
    <numFmt numFmtId="195" formatCode="_(* #,##0_);_(* \(#,##0\);_(* &quot;-&quot;??_);_(@_)"/>
    <numFmt numFmtId="196" formatCode="_(* #,##0.000_);_(* \(#,##0.000\);_(* &quot;-&quot;??_);_(@_)"/>
    <numFmt numFmtId="197" formatCode="_(* #,##0.0000_);_(* \(#,##0.0000\);_(* &quot;-&quot;??_);_(@_)"/>
    <numFmt numFmtId="198" formatCode="mmm\-yyyy"/>
    <numFmt numFmtId="199" formatCode="#,##0.0000"/>
    <numFmt numFmtId="200" formatCode="#,##0.000000000000000"/>
    <numFmt numFmtId="201" formatCode="#,##0.000"/>
    <numFmt numFmtId="202" formatCode="#,##0.000000_);[Red]\(#,##0.000000\)"/>
    <numFmt numFmtId="203" formatCode="&quot;$&quot;#,##0.000000_);[Red]\(&quot;$&quot;#,##0.000000\)"/>
  </numFmts>
  <fonts count="33">
    <font>
      <sz val="10"/>
      <name val="Arial"/>
      <family val="0"/>
    </font>
    <font>
      <b/>
      <sz val="10"/>
      <color indexed="17"/>
      <name val="Arial"/>
      <family val="2"/>
    </font>
    <font>
      <b/>
      <sz val="10"/>
      <name val="Arial"/>
      <family val="2"/>
    </font>
    <font>
      <b/>
      <sz val="10"/>
      <color indexed="12"/>
      <name val="Arial"/>
      <family val="2"/>
    </font>
    <font>
      <sz val="10"/>
      <color indexed="12"/>
      <name val="Arial"/>
      <family val="2"/>
    </font>
    <font>
      <b/>
      <sz val="10"/>
      <color indexed="10"/>
      <name val="Arial"/>
      <family val="2"/>
    </font>
    <font>
      <b/>
      <sz val="8"/>
      <name val="Tahoma"/>
      <family val="0"/>
    </font>
    <font>
      <sz val="8"/>
      <name val="Tahoma"/>
      <family val="0"/>
    </font>
    <font>
      <b/>
      <sz val="10.75"/>
      <name val="Arial"/>
      <family val="0"/>
    </font>
    <font>
      <sz val="10.75"/>
      <name val="Arial"/>
      <family val="0"/>
    </font>
    <font>
      <sz val="9.5"/>
      <name val="Arial"/>
      <family val="0"/>
    </font>
    <font>
      <b/>
      <sz val="12"/>
      <name val="Arial"/>
      <family val="0"/>
    </font>
    <font>
      <sz val="11.75"/>
      <name val="Arial"/>
      <family val="0"/>
    </font>
    <font>
      <u val="single"/>
      <sz val="10"/>
      <color indexed="12"/>
      <name val="Arial"/>
      <family val="0"/>
    </font>
    <font>
      <b/>
      <sz val="11"/>
      <color indexed="10"/>
      <name val="Arial"/>
      <family val="2"/>
    </font>
    <font>
      <sz val="10"/>
      <color indexed="10"/>
      <name val="Arial"/>
      <family val="2"/>
    </font>
    <font>
      <b/>
      <sz val="10"/>
      <color indexed="8"/>
      <name val="Arial"/>
      <family val="2"/>
    </font>
    <font>
      <b/>
      <i/>
      <sz val="10"/>
      <name val="Arial"/>
      <family val="2"/>
    </font>
    <font>
      <b/>
      <sz val="12"/>
      <color indexed="17"/>
      <name val="Arial"/>
      <family val="2"/>
    </font>
    <font>
      <b/>
      <sz val="10"/>
      <name val="Times New Roman"/>
      <family val="1"/>
    </font>
    <font>
      <sz val="10"/>
      <name val="Times New Roman"/>
      <family val="1"/>
    </font>
    <font>
      <b/>
      <u val="single"/>
      <sz val="10"/>
      <name val="Times New Roman"/>
      <family val="1"/>
    </font>
    <font>
      <u val="singleAccounting"/>
      <sz val="10"/>
      <name val="Times New Roman"/>
      <family val="1"/>
    </font>
    <font>
      <b/>
      <sz val="12"/>
      <color indexed="10"/>
      <name val="Arial"/>
      <family val="2"/>
    </font>
    <font>
      <sz val="11.5"/>
      <name val="Arial"/>
      <family val="0"/>
    </font>
    <font>
      <sz val="14"/>
      <name val="Arial"/>
      <family val="2"/>
    </font>
    <font>
      <vertAlign val="superscript"/>
      <sz val="10"/>
      <name val="Arial"/>
      <family val="2"/>
    </font>
    <font>
      <sz val="14"/>
      <color indexed="10"/>
      <name val="Arial"/>
      <family val="2"/>
    </font>
    <font>
      <sz val="10"/>
      <color indexed="43"/>
      <name val="Arial"/>
      <family val="2"/>
    </font>
    <font>
      <sz val="14"/>
      <color indexed="12"/>
      <name val="Arial"/>
      <family val="2"/>
    </font>
    <font>
      <b/>
      <u val="single"/>
      <sz val="10"/>
      <color indexed="12"/>
      <name val="Arial"/>
      <family val="2"/>
    </font>
    <font>
      <u val="single"/>
      <sz val="10"/>
      <color indexed="36"/>
      <name val="Arial"/>
      <family val="0"/>
    </font>
    <font>
      <b/>
      <sz val="8"/>
      <name val="Arial"/>
      <family val="2"/>
    </font>
  </fonts>
  <fills count="14">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
      <patternFill patternType="solid">
        <fgColor indexed="47"/>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ck">
        <color indexed="12"/>
      </left>
      <right style="thick">
        <color indexed="12"/>
      </right>
      <top style="thick">
        <color indexed="12"/>
      </top>
      <bottom>
        <color indexed="63"/>
      </bottom>
    </border>
    <border>
      <left style="thick">
        <color indexed="12"/>
      </left>
      <right style="thick">
        <color indexed="12"/>
      </right>
      <top>
        <color indexed="63"/>
      </top>
      <bottom>
        <color indexed="63"/>
      </bottom>
    </border>
    <border>
      <left style="thick">
        <color indexed="12"/>
      </left>
      <right style="thick">
        <color indexed="12"/>
      </right>
      <top>
        <color indexed="63"/>
      </top>
      <bottom style="thick">
        <color indexed="12"/>
      </bottom>
    </border>
    <border>
      <left>
        <color indexed="63"/>
      </left>
      <right>
        <color indexed="63"/>
      </right>
      <top style="thick">
        <color indexed="12"/>
      </top>
      <bottom>
        <color indexed="63"/>
      </bottom>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
      <left style="thick"/>
      <right style="thick"/>
      <top style="thick"/>
      <bottom>
        <color indexed="63"/>
      </bottom>
    </border>
    <border>
      <left style="thick"/>
      <right style="thick"/>
      <top>
        <color indexed="63"/>
      </top>
      <bottom style="thick"/>
    </border>
    <border>
      <left>
        <color indexed="63"/>
      </left>
      <right>
        <color indexed="63"/>
      </right>
      <top>
        <color indexed="63"/>
      </top>
      <bottom style="thick"/>
    </border>
    <border>
      <left>
        <color indexed="63"/>
      </left>
      <right>
        <color indexed="63"/>
      </right>
      <top>
        <color indexed="63"/>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2" fillId="0" borderId="0" xfId="0" applyFont="1" applyAlignment="1">
      <alignment/>
    </xf>
    <xf numFmtId="5" fontId="2" fillId="0" borderId="0" xfId="0" applyNumberFormat="1" applyFont="1" applyAlignment="1">
      <alignment horizontal="center"/>
    </xf>
    <xf numFmtId="0" fontId="5" fillId="0" borderId="0" xfId="0" applyFont="1" applyAlignment="1">
      <alignment/>
    </xf>
    <xf numFmtId="0" fontId="2" fillId="0" borderId="0" xfId="0" applyFont="1" applyAlignment="1">
      <alignment horizontal="center"/>
    </xf>
    <xf numFmtId="0" fontId="0" fillId="2" borderId="0" xfId="0" applyFont="1" applyFill="1" applyAlignment="1">
      <alignment horizontal="center"/>
    </xf>
    <xf numFmtId="0" fontId="0" fillId="3" borderId="0" xfId="0" applyFont="1" applyFill="1" applyAlignment="1">
      <alignment horizontal="center"/>
    </xf>
    <xf numFmtId="0" fontId="0" fillId="4" borderId="0" xfId="0" applyFont="1" applyFill="1" applyAlignment="1">
      <alignment horizontal="center"/>
    </xf>
    <xf numFmtId="0" fontId="0" fillId="5" borderId="0" xfId="0" applyFont="1" applyFill="1" applyAlignment="1">
      <alignment horizontal="center"/>
    </xf>
    <xf numFmtId="0" fontId="2" fillId="0" borderId="0" xfId="0" applyFont="1" applyBorder="1" applyAlignment="1">
      <alignment/>
    </xf>
    <xf numFmtId="5" fontId="2" fillId="0" borderId="0" xfId="0" applyNumberFormat="1" applyFont="1" applyBorder="1" applyAlignment="1">
      <alignment horizontal="center"/>
    </xf>
    <xf numFmtId="0" fontId="0" fillId="6" borderId="0" xfId="0" applyFont="1" applyFill="1" applyAlignment="1">
      <alignment horizontal="center"/>
    </xf>
    <xf numFmtId="0" fontId="0" fillId="0" borderId="0" xfId="0" applyBorder="1" applyAlignment="1">
      <alignment/>
    </xf>
    <xf numFmtId="0" fontId="0" fillId="7" borderId="0" xfId="0" applyFill="1" applyAlignment="1">
      <alignment/>
    </xf>
    <xf numFmtId="0" fontId="0" fillId="0" borderId="0" xfId="0" applyAlignment="1" quotePrefix="1">
      <alignment/>
    </xf>
    <xf numFmtId="0" fontId="0" fillId="0" borderId="1" xfId="0" applyBorder="1" applyAlignment="1">
      <alignment/>
    </xf>
    <xf numFmtId="5" fontId="0" fillId="0" borderId="0" xfId="0" applyNumberFormat="1" applyBorder="1" applyAlignment="1">
      <alignment horizontal="center"/>
    </xf>
    <xf numFmtId="0" fontId="2" fillId="0" borderId="2" xfId="0" applyFont="1" applyBorder="1" applyAlignment="1">
      <alignment/>
    </xf>
    <xf numFmtId="0" fontId="0" fillId="8" borderId="0" xfId="0" applyFill="1" applyAlignment="1">
      <alignment/>
    </xf>
    <xf numFmtId="0" fontId="0" fillId="8" borderId="0" xfId="0" applyFill="1" applyAlignment="1" quotePrefix="1">
      <alignment/>
    </xf>
    <xf numFmtId="0" fontId="2" fillId="8" borderId="0" xfId="0" applyFont="1" applyFill="1" applyBorder="1" applyAlignment="1">
      <alignment/>
    </xf>
    <xf numFmtId="0" fontId="0" fillId="0" borderId="0" xfId="0" applyFill="1" applyAlignment="1">
      <alignment/>
    </xf>
    <xf numFmtId="0" fontId="0" fillId="0" borderId="0" xfId="0" applyFill="1" applyAlignment="1" quotePrefix="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Alignment="1">
      <alignment horizontal="center"/>
    </xf>
    <xf numFmtId="164" fontId="0" fillId="0" borderId="0" xfId="0" applyNumberFormat="1" applyFill="1" applyAlignment="1">
      <alignment horizontal="center"/>
    </xf>
    <xf numFmtId="0" fontId="0" fillId="3" borderId="0" xfId="0" applyFill="1" applyAlignment="1">
      <alignment/>
    </xf>
    <xf numFmtId="0" fontId="0" fillId="3" borderId="0" xfId="0" applyFill="1" applyAlignment="1" quotePrefix="1">
      <alignment/>
    </xf>
    <xf numFmtId="0" fontId="2" fillId="0" borderId="0" xfId="0" applyFont="1" applyFill="1" applyAlignment="1">
      <alignment/>
    </xf>
    <xf numFmtId="0" fontId="0" fillId="0" borderId="0" xfId="0" applyFont="1" applyAlignment="1" quotePrefix="1">
      <alignment/>
    </xf>
    <xf numFmtId="0" fontId="0" fillId="4" borderId="0" xfId="0" applyFill="1" applyAlignment="1">
      <alignment/>
    </xf>
    <xf numFmtId="0" fontId="2" fillId="0" borderId="0" xfId="0" applyFont="1" applyAlignment="1">
      <alignment horizontal="left"/>
    </xf>
    <xf numFmtId="0" fontId="2" fillId="0" borderId="1" xfId="0" applyFont="1" applyBorder="1" applyAlignment="1">
      <alignment horizontal="center"/>
    </xf>
    <xf numFmtId="0" fontId="0" fillId="5" borderId="0" xfId="0" applyFill="1" applyAlignment="1">
      <alignment/>
    </xf>
    <xf numFmtId="0" fontId="0" fillId="6" borderId="0" xfId="0" applyFill="1" applyAlignment="1">
      <alignment/>
    </xf>
    <xf numFmtId="0" fontId="0" fillId="9" borderId="0" xfId="0" applyFill="1" applyAlignment="1">
      <alignment/>
    </xf>
    <xf numFmtId="0" fontId="0" fillId="2" borderId="0" xfId="0" applyFill="1" applyAlignment="1">
      <alignment/>
    </xf>
    <xf numFmtId="0" fontId="0" fillId="10" borderId="0" xfId="0" applyFill="1" applyAlignment="1">
      <alignment/>
    </xf>
    <xf numFmtId="5" fontId="2" fillId="0" borderId="0" xfId="0" applyNumberFormat="1"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xf>
    <xf numFmtId="0" fontId="2" fillId="2" borderId="3" xfId="0" applyFont="1" applyFill="1" applyBorder="1" applyAlignment="1">
      <alignment horizontal="center"/>
    </xf>
    <xf numFmtId="5" fontId="2" fillId="2" borderId="3" xfId="0" applyNumberFormat="1" applyFont="1" applyFill="1" applyBorder="1" applyAlignment="1">
      <alignment horizontal="center"/>
    </xf>
    <xf numFmtId="0" fontId="2" fillId="0" borderId="3" xfId="0" applyFont="1" applyFill="1" applyBorder="1" applyAlignment="1">
      <alignment horizontal="center"/>
    </xf>
    <xf numFmtId="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Alignment="1">
      <alignment/>
    </xf>
    <xf numFmtId="5" fontId="0" fillId="0" borderId="0" xfId="0" applyNumberFormat="1" applyFont="1" applyAlignment="1">
      <alignment horizontal="center"/>
    </xf>
    <xf numFmtId="0" fontId="0" fillId="0" borderId="0" xfId="0" applyFont="1" applyAlignment="1">
      <alignment horizontal="right"/>
    </xf>
    <xf numFmtId="0" fontId="0" fillId="0" borderId="3" xfId="0" applyFont="1" applyBorder="1" applyAlignment="1">
      <alignment/>
    </xf>
    <xf numFmtId="0" fontId="0" fillId="0" borderId="1" xfId="0" applyFont="1" applyBorder="1" applyAlignment="1">
      <alignment/>
    </xf>
    <xf numFmtId="0" fontId="0" fillId="2"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center"/>
    </xf>
    <xf numFmtId="0" fontId="0" fillId="5" borderId="1" xfId="0" applyFont="1" applyFill="1" applyBorder="1" applyAlignment="1">
      <alignment horizontal="center"/>
    </xf>
    <xf numFmtId="0" fontId="0" fillId="6" borderId="1" xfId="0" applyFont="1" applyFill="1" applyBorder="1" applyAlignment="1">
      <alignment horizontal="center"/>
    </xf>
    <xf numFmtId="0" fontId="0" fillId="9" borderId="1" xfId="0" applyFont="1" applyFill="1" applyBorder="1" applyAlignment="1">
      <alignment horizontal="center"/>
    </xf>
    <xf numFmtId="0" fontId="0" fillId="10" borderId="2" xfId="0" applyFont="1" applyFill="1" applyBorder="1" applyAlignment="1">
      <alignment horizontal="center"/>
    </xf>
    <xf numFmtId="0" fontId="2" fillId="0" borderId="1" xfId="0" applyFont="1" applyFill="1" applyBorder="1" applyAlignment="1">
      <alignment horizontal="center"/>
    </xf>
    <xf numFmtId="0" fontId="2" fillId="0" borderId="2" xfId="0" applyFont="1" applyBorder="1" applyAlignment="1">
      <alignment horizontal="center"/>
    </xf>
    <xf numFmtId="0" fontId="5" fillId="0" borderId="0" xfId="0" applyFont="1" applyAlignment="1">
      <alignment horizontal="right"/>
    </xf>
    <xf numFmtId="5" fontId="5" fillId="0" borderId="0" xfId="0" applyNumberFormat="1" applyFont="1" applyAlignment="1">
      <alignment horizontal="center"/>
    </xf>
    <xf numFmtId="0" fontId="0" fillId="2" borderId="1" xfId="0" applyFill="1" applyBorder="1" applyAlignment="1">
      <alignment horizontal="center"/>
    </xf>
    <xf numFmtId="5" fontId="2" fillId="2" borderId="1" xfId="0" applyNumberFormat="1" applyFont="1" applyFill="1" applyBorder="1" applyAlignment="1">
      <alignment horizontal="center"/>
    </xf>
    <xf numFmtId="0" fontId="0" fillId="3" borderId="1" xfId="0" applyFill="1" applyBorder="1" applyAlignment="1">
      <alignment horizontal="center"/>
    </xf>
    <xf numFmtId="5" fontId="2" fillId="3" borderId="1" xfId="0" applyNumberFormat="1" applyFont="1" applyFill="1" applyBorder="1" applyAlignment="1">
      <alignment horizontal="center"/>
    </xf>
    <xf numFmtId="0" fontId="0" fillId="4" borderId="1" xfId="0" applyFill="1" applyBorder="1" applyAlignment="1">
      <alignment horizontal="center"/>
    </xf>
    <xf numFmtId="5" fontId="2" fillId="4" borderId="1" xfId="0" applyNumberFormat="1" applyFont="1" applyFill="1" applyBorder="1" applyAlignment="1">
      <alignment horizontal="center"/>
    </xf>
    <xf numFmtId="0" fontId="0" fillId="5" borderId="1" xfId="0" applyFill="1" applyBorder="1" applyAlignment="1">
      <alignment horizontal="center"/>
    </xf>
    <xf numFmtId="5" fontId="2" fillId="5" borderId="1" xfId="0" applyNumberFormat="1" applyFont="1" applyFill="1" applyBorder="1" applyAlignment="1">
      <alignment horizontal="center"/>
    </xf>
    <xf numFmtId="0" fontId="0" fillId="6" borderId="1" xfId="0" applyFill="1" applyBorder="1" applyAlignment="1">
      <alignment horizontal="center"/>
    </xf>
    <xf numFmtId="5" fontId="2" fillId="6" borderId="1" xfId="0" applyNumberFormat="1" applyFont="1" applyFill="1" applyBorder="1" applyAlignment="1">
      <alignment horizontal="center"/>
    </xf>
    <xf numFmtId="0" fontId="0" fillId="9" borderId="1" xfId="0" applyFill="1" applyBorder="1" applyAlignment="1">
      <alignment horizontal="center"/>
    </xf>
    <xf numFmtId="5" fontId="2" fillId="9" borderId="1" xfId="0" applyNumberFormat="1" applyFont="1" applyFill="1" applyBorder="1" applyAlignment="1">
      <alignment horizontal="center"/>
    </xf>
    <xf numFmtId="0" fontId="0" fillId="10" borderId="2" xfId="0" applyFill="1" applyBorder="1" applyAlignment="1">
      <alignment horizontal="center"/>
    </xf>
    <xf numFmtId="5" fontId="2" fillId="10" borderId="2" xfId="0" applyNumberFormat="1" applyFont="1" applyFill="1" applyBorder="1" applyAlignment="1">
      <alignment horizontal="center"/>
    </xf>
    <xf numFmtId="0" fontId="0" fillId="9" borderId="4" xfId="0" applyFont="1" applyFill="1" applyBorder="1" applyAlignment="1">
      <alignment horizontal="center"/>
    </xf>
    <xf numFmtId="0" fontId="0" fillId="3" borderId="4" xfId="0" applyFont="1" applyFill="1" applyBorder="1" applyAlignment="1">
      <alignment horizontal="center"/>
    </xf>
    <xf numFmtId="0" fontId="0" fillId="2" borderId="4" xfId="0" applyFont="1" applyFill="1" applyBorder="1" applyAlignment="1">
      <alignment horizontal="center"/>
    </xf>
    <xf numFmtId="0" fontId="0" fillId="10" borderId="5" xfId="0" applyFont="1" applyFill="1" applyBorder="1" applyAlignment="1">
      <alignment horizontal="center"/>
    </xf>
    <xf numFmtId="0" fontId="0" fillId="2" borderId="3" xfId="0" applyFont="1" applyFill="1" applyBorder="1" applyAlignment="1">
      <alignment horizontal="center"/>
    </xf>
    <xf numFmtId="0" fontId="0" fillId="0" borderId="3" xfId="0" applyFill="1" applyBorder="1" applyAlignment="1">
      <alignment/>
    </xf>
    <xf numFmtId="0" fontId="0" fillId="0" borderId="1" xfId="0" applyFill="1" applyBorder="1" applyAlignment="1">
      <alignment/>
    </xf>
    <xf numFmtId="0" fontId="0" fillId="2" borderId="3" xfId="0" applyFill="1" applyBorder="1" applyAlignment="1">
      <alignment horizontal="center"/>
    </xf>
    <xf numFmtId="0" fontId="3" fillId="0" borderId="0" xfId="0" applyFont="1" applyAlignment="1">
      <alignment horizontal="left"/>
    </xf>
    <xf numFmtId="0" fontId="2" fillId="3" borderId="0" xfId="0" applyFont="1" applyFill="1" applyAlignment="1">
      <alignment horizontal="center"/>
    </xf>
    <xf numFmtId="0" fontId="0" fillId="3" borderId="0" xfId="0" applyFill="1" applyAlignment="1" quotePrefix="1">
      <alignment/>
    </xf>
    <xf numFmtId="0" fontId="0" fillId="3" borderId="0" xfId="0" applyFont="1" applyFill="1" applyAlignment="1">
      <alignment/>
    </xf>
    <xf numFmtId="0" fontId="0" fillId="3" borderId="0" xfId="0" applyFont="1" applyFill="1" applyAlignment="1" quotePrefix="1">
      <alignment/>
    </xf>
    <xf numFmtId="0" fontId="0" fillId="0" borderId="3" xfId="0" applyBorder="1" applyAlignment="1">
      <alignment/>
    </xf>
    <xf numFmtId="0" fontId="2" fillId="0" borderId="3" xfId="0" applyFont="1" applyBorder="1" applyAlignment="1">
      <alignment horizontal="center"/>
    </xf>
    <xf numFmtId="166" fontId="0" fillId="2" borderId="3" xfId="0" applyNumberFormat="1" applyFont="1" applyFill="1" applyBorder="1" applyAlignment="1">
      <alignment horizontal="center"/>
    </xf>
    <xf numFmtId="38" fontId="0" fillId="0" borderId="0" xfId="0" applyNumberFormat="1" applyAlignment="1">
      <alignment/>
    </xf>
    <xf numFmtId="6" fontId="0" fillId="0" borderId="0" xfId="0" applyNumberFormat="1" applyAlignment="1">
      <alignment/>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165" fontId="2" fillId="3" borderId="1" xfId="0" applyNumberFormat="1" applyFont="1" applyFill="1" applyBorder="1" applyAlignment="1">
      <alignment horizontal="center"/>
    </xf>
    <xf numFmtId="165" fontId="2" fillId="4" borderId="1" xfId="0" applyNumberFormat="1" applyFont="1" applyFill="1" applyBorder="1" applyAlignment="1">
      <alignment horizontal="center"/>
    </xf>
    <xf numFmtId="165" fontId="2" fillId="5" borderId="1" xfId="0" applyNumberFormat="1" applyFont="1" applyFill="1" applyBorder="1" applyAlignment="1">
      <alignment horizontal="center"/>
    </xf>
    <xf numFmtId="165" fontId="2" fillId="6" borderId="1" xfId="0" applyNumberFormat="1" applyFont="1" applyFill="1" applyBorder="1" applyAlignment="1">
      <alignment horizontal="center"/>
    </xf>
    <xf numFmtId="165" fontId="2" fillId="9" borderId="1" xfId="0" applyNumberFormat="1" applyFont="1" applyFill="1" applyBorder="1" applyAlignment="1">
      <alignment horizontal="center"/>
    </xf>
    <xf numFmtId="165" fontId="2" fillId="10" borderId="2" xfId="0" applyNumberFormat="1" applyFont="1" applyFill="1" applyBorder="1" applyAlignment="1">
      <alignment horizontal="center"/>
    </xf>
    <xf numFmtId="165" fontId="2" fillId="2" borderId="3" xfId="0" applyNumberFormat="1" applyFont="1" applyFill="1" applyBorder="1" applyAlignment="1">
      <alignment/>
    </xf>
    <xf numFmtId="165" fontId="2" fillId="3" borderId="1" xfId="0" applyNumberFormat="1" applyFont="1" applyFill="1" applyBorder="1" applyAlignment="1">
      <alignment/>
    </xf>
    <xf numFmtId="165" fontId="2" fillId="4" borderId="1" xfId="0" applyNumberFormat="1" applyFont="1" applyFill="1" applyBorder="1" applyAlignment="1">
      <alignment/>
    </xf>
    <xf numFmtId="165" fontId="2" fillId="5" borderId="1" xfId="0" applyNumberFormat="1" applyFont="1" applyFill="1" applyBorder="1" applyAlignment="1">
      <alignment/>
    </xf>
    <xf numFmtId="165" fontId="2" fillId="6" borderId="1" xfId="0" applyNumberFormat="1" applyFont="1" applyFill="1" applyBorder="1" applyAlignment="1">
      <alignment/>
    </xf>
    <xf numFmtId="165" fontId="2" fillId="9" borderId="1" xfId="0" applyNumberFormat="1" applyFont="1" applyFill="1" applyBorder="1" applyAlignment="1">
      <alignment/>
    </xf>
    <xf numFmtId="165" fontId="2" fillId="2" borderId="1" xfId="0" applyNumberFormat="1" applyFont="1" applyFill="1" applyBorder="1" applyAlignment="1">
      <alignment/>
    </xf>
    <xf numFmtId="165" fontId="2" fillId="10" borderId="2" xfId="0" applyNumberFormat="1" applyFont="1" applyFill="1" applyBorder="1" applyAlignment="1">
      <alignment/>
    </xf>
    <xf numFmtId="166" fontId="0" fillId="3" borderId="1" xfId="0" applyNumberFormat="1" applyFont="1" applyFill="1" applyBorder="1" applyAlignment="1">
      <alignment horizontal="center"/>
    </xf>
    <xf numFmtId="166" fontId="0" fillId="4" borderId="1" xfId="0" applyNumberFormat="1" applyFont="1" applyFill="1" applyBorder="1" applyAlignment="1">
      <alignment horizontal="center"/>
    </xf>
    <xf numFmtId="166" fontId="0" fillId="5" borderId="1" xfId="0" applyNumberFormat="1" applyFont="1" applyFill="1" applyBorder="1" applyAlignment="1">
      <alignment horizontal="center"/>
    </xf>
    <xf numFmtId="166" fontId="0" fillId="6" borderId="1" xfId="0" applyNumberFormat="1" applyFont="1" applyFill="1" applyBorder="1" applyAlignment="1">
      <alignment horizontal="center"/>
    </xf>
    <xf numFmtId="166" fontId="0" fillId="9" borderId="1" xfId="0" applyNumberFormat="1" applyFont="1" applyFill="1" applyBorder="1" applyAlignment="1">
      <alignment horizontal="center"/>
    </xf>
    <xf numFmtId="166" fontId="0" fillId="2" borderId="1" xfId="0" applyNumberFormat="1" applyFont="1" applyFill="1" applyBorder="1" applyAlignment="1">
      <alignment horizontal="center"/>
    </xf>
    <xf numFmtId="166" fontId="0" fillId="10" borderId="2" xfId="0" applyNumberFormat="1" applyFont="1" applyFill="1" applyBorder="1" applyAlignment="1">
      <alignment horizontal="center"/>
    </xf>
    <xf numFmtId="170" fontId="2" fillId="0" borderId="0" xfId="0" applyNumberFormat="1" applyFont="1" applyAlignment="1">
      <alignment/>
    </xf>
    <xf numFmtId="170" fontId="0" fillId="0" borderId="0" xfId="0" applyNumberFormat="1" applyAlignment="1">
      <alignment/>
    </xf>
    <xf numFmtId="167" fontId="15" fillId="0" borderId="0" xfId="0" applyNumberFormat="1" applyFont="1" applyAlignment="1">
      <alignment/>
    </xf>
    <xf numFmtId="167" fontId="2" fillId="0" borderId="0" xfId="0" applyNumberFormat="1" applyFont="1" applyFill="1" applyAlignment="1">
      <alignment horizontal="left"/>
    </xf>
    <xf numFmtId="0" fontId="16" fillId="0" borderId="0" xfId="0" applyFont="1" applyAlignment="1">
      <alignment/>
    </xf>
    <xf numFmtId="0" fontId="16" fillId="0" borderId="0" xfId="0" applyFont="1" applyAlignment="1">
      <alignment/>
    </xf>
    <xf numFmtId="170" fontId="0" fillId="3" borderId="0" xfId="0" applyNumberFormat="1" applyFont="1" applyFill="1" applyAlignment="1" quotePrefix="1">
      <alignment/>
    </xf>
    <xf numFmtId="0" fontId="1" fillId="0" borderId="0" xfId="0" applyFont="1" applyAlignment="1">
      <alignment/>
    </xf>
    <xf numFmtId="0" fontId="0" fillId="0" borderId="0" xfId="0" applyFont="1" applyAlignment="1">
      <alignment horizontal="left"/>
    </xf>
    <xf numFmtId="8" fontId="2" fillId="0" borderId="0" xfId="0" applyNumberFormat="1" applyFont="1" applyFill="1" applyAlignment="1">
      <alignment horizontal="center"/>
    </xf>
    <xf numFmtId="165" fontId="2" fillId="0" borderId="0" xfId="0" applyNumberFormat="1" applyFont="1" applyFill="1" applyAlignment="1">
      <alignment horizontal="center"/>
    </xf>
    <xf numFmtId="165" fontId="0" fillId="0" borderId="0" xfId="0" applyNumberFormat="1" applyAlignment="1" quotePrefix="1">
      <alignment/>
    </xf>
    <xf numFmtId="6" fontId="2" fillId="0" borderId="0" xfId="0" applyNumberFormat="1" applyFont="1" applyFill="1" applyAlignment="1">
      <alignment horizontal="center"/>
    </xf>
    <xf numFmtId="6" fontId="0" fillId="0" borderId="0" xfId="0" applyNumberFormat="1" applyFill="1" applyAlignment="1">
      <alignment horizontal="center"/>
    </xf>
    <xf numFmtId="6" fontId="2" fillId="0" borderId="0" xfId="0" applyNumberFormat="1" applyFont="1" applyAlignment="1">
      <alignment horizontal="center"/>
    </xf>
    <xf numFmtId="6" fontId="0" fillId="0" borderId="0" xfId="0" applyNumberFormat="1" applyAlignment="1">
      <alignment horizontal="center"/>
    </xf>
    <xf numFmtId="0" fontId="18" fillId="0" borderId="0" xfId="0" applyFont="1" applyAlignment="1">
      <alignment/>
    </xf>
    <xf numFmtId="0" fontId="1" fillId="0" borderId="0" xfId="0" applyFont="1" applyAlignment="1">
      <alignment horizontal="left"/>
    </xf>
    <xf numFmtId="0" fontId="19" fillId="0" borderId="0" xfId="0" applyFont="1" applyAlignment="1">
      <alignment/>
    </xf>
    <xf numFmtId="0" fontId="20" fillId="0" borderId="0" xfId="0" applyFont="1" applyAlignment="1">
      <alignment/>
    </xf>
    <xf numFmtId="0" fontId="19" fillId="0" borderId="0" xfId="0" applyFont="1" applyAlignment="1">
      <alignment horizontal="left"/>
    </xf>
    <xf numFmtId="0" fontId="19" fillId="0" borderId="0" xfId="0" applyFont="1" applyAlignment="1">
      <alignment horizontal="center"/>
    </xf>
    <xf numFmtId="0" fontId="21" fillId="0" borderId="0" xfId="0" applyFont="1" applyAlignment="1">
      <alignment horizontal="left"/>
    </xf>
    <xf numFmtId="0" fontId="21" fillId="0" borderId="0" xfId="0" applyFont="1" applyAlignment="1">
      <alignment horizontal="center"/>
    </xf>
    <xf numFmtId="0" fontId="20" fillId="0" borderId="0" xfId="0" applyFont="1" applyAlignment="1">
      <alignment horizontal="left"/>
    </xf>
    <xf numFmtId="10" fontId="20" fillId="0" borderId="0" xfId="21" applyNumberFormat="1" applyFont="1" applyAlignment="1">
      <alignment horizontal="center"/>
    </xf>
    <xf numFmtId="193" fontId="20" fillId="0" borderId="0" xfId="17" applyNumberFormat="1" applyFont="1" applyAlignment="1">
      <alignment/>
    </xf>
    <xf numFmtId="164" fontId="20" fillId="0" borderId="0" xfId="17" applyNumberFormat="1" applyFont="1" applyAlignment="1">
      <alignment/>
    </xf>
    <xf numFmtId="0" fontId="20" fillId="0" borderId="0" xfId="0" applyFont="1" applyAlignment="1">
      <alignment horizontal="center"/>
    </xf>
    <xf numFmtId="195" fontId="20" fillId="0" borderId="0" xfId="15" applyNumberFormat="1" applyFont="1" applyAlignment="1">
      <alignment/>
    </xf>
    <xf numFmtId="195" fontId="20" fillId="0" borderId="0" xfId="0" applyNumberFormat="1" applyFont="1" applyAlignment="1">
      <alignment/>
    </xf>
    <xf numFmtId="43" fontId="20" fillId="0" borderId="0" xfId="15" applyFont="1" applyAlignment="1">
      <alignment horizontal="right"/>
    </xf>
    <xf numFmtId="195" fontId="22" fillId="0" borderId="0" xfId="0" applyNumberFormat="1" applyFont="1" applyAlignment="1">
      <alignment/>
    </xf>
    <xf numFmtId="195" fontId="22" fillId="0" borderId="0" xfId="15" applyNumberFormat="1" applyFont="1" applyAlignment="1">
      <alignment/>
    </xf>
    <xf numFmtId="194" fontId="22" fillId="0" borderId="0" xfId="15" applyNumberFormat="1" applyFont="1" applyAlignment="1">
      <alignment/>
    </xf>
    <xf numFmtId="43" fontId="20" fillId="0" borderId="0" xfId="0" applyNumberFormat="1" applyFont="1" applyAlignment="1">
      <alignment/>
    </xf>
    <xf numFmtId="44" fontId="20" fillId="0" borderId="0" xfId="17" applyFont="1" applyAlignment="1">
      <alignment/>
    </xf>
    <xf numFmtId="193" fontId="20" fillId="0" borderId="0" xfId="0" applyNumberFormat="1" applyFont="1" applyAlignment="1">
      <alignment horizontal="center"/>
    </xf>
    <xf numFmtId="43" fontId="20" fillId="0" borderId="0" xfId="0" applyNumberFormat="1" applyFont="1" applyAlignment="1">
      <alignment horizontal="center"/>
    </xf>
    <xf numFmtId="43" fontId="20" fillId="0" borderId="0" xfId="15" applyFont="1" applyAlignment="1">
      <alignment/>
    </xf>
    <xf numFmtId="195" fontId="20" fillId="0" borderId="0" xfId="0" applyNumberFormat="1" applyFont="1" applyAlignment="1">
      <alignment horizontal="center"/>
    </xf>
    <xf numFmtId="193" fontId="20" fillId="0" borderId="0" xfId="0" applyNumberFormat="1" applyFont="1" applyAlignment="1">
      <alignment/>
    </xf>
    <xf numFmtId="14" fontId="0" fillId="0" borderId="0" xfId="0" applyNumberFormat="1" applyAlignment="1">
      <alignment horizontal="center"/>
    </xf>
    <xf numFmtId="10" fontId="0" fillId="0" borderId="0" xfId="0" applyNumberFormat="1" applyAlignment="1">
      <alignment horizontal="center"/>
    </xf>
    <xf numFmtId="166" fontId="0" fillId="0" borderId="0" xfId="0" applyNumberFormat="1" applyAlignment="1">
      <alignment horizontal="center"/>
    </xf>
    <xf numFmtId="14" fontId="2" fillId="0" borderId="0" xfId="0" applyNumberFormat="1" applyFont="1" applyAlignment="1">
      <alignment horizontal="center"/>
    </xf>
    <xf numFmtId="14" fontId="0" fillId="0" borderId="0" xfId="0" applyNumberFormat="1" applyAlignment="1">
      <alignment horizontal="left"/>
    </xf>
    <xf numFmtId="0" fontId="3" fillId="0" borderId="0" xfId="0" applyFont="1" applyAlignment="1">
      <alignment horizontal="center"/>
    </xf>
    <xf numFmtId="0" fontId="0" fillId="0" borderId="0" xfId="0" applyAlignment="1">
      <alignment horizontal="right"/>
    </xf>
    <xf numFmtId="0" fontId="4" fillId="11" borderId="0" xfId="0" applyFont="1" applyFill="1" applyAlignment="1">
      <alignment/>
    </xf>
    <xf numFmtId="166" fontId="0" fillId="0" borderId="0" xfId="0" applyNumberFormat="1" applyFont="1" applyAlignment="1">
      <alignment horizontal="center"/>
    </xf>
    <xf numFmtId="8" fontId="0" fillId="0" borderId="0" xfId="0" applyNumberFormat="1" applyAlignment="1">
      <alignment/>
    </xf>
    <xf numFmtId="38" fontId="0" fillId="0" borderId="0" xfId="0" applyNumberFormat="1" applyAlignment="1">
      <alignment horizontal="center"/>
    </xf>
    <xf numFmtId="0" fontId="25" fillId="0" borderId="0" xfId="0" applyFont="1" applyAlignment="1">
      <alignment/>
    </xf>
    <xf numFmtId="173" fontId="3" fillId="0" borderId="0" xfId="0" applyNumberFormat="1" applyFont="1" applyAlignment="1">
      <alignment horizontal="center"/>
    </xf>
    <xf numFmtId="6" fontId="0" fillId="0" borderId="0" xfId="0" applyNumberFormat="1" applyAlignment="1">
      <alignment horizontal="right"/>
    </xf>
    <xf numFmtId="4" fontId="0" fillId="0" borderId="0" xfId="0" applyNumberFormat="1" applyAlignment="1">
      <alignment horizontal="center"/>
    </xf>
    <xf numFmtId="0" fontId="11" fillId="0" borderId="0" xfId="0" applyFont="1" applyAlignment="1">
      <alignment/>
    </xf>
    <xf numFmtId="14" fontId="0" fillId="2" borderId="0" xfId="0" applyNumberFormat="1" applyFont="1" applyFill="1" applyAlignment="1">
      <alignment horizontal="center"/>
    </xf>
    <xf numFmtId="38" fontId="2" fillId="0" borderId="3" xfId="0" applyNumberFormat="1" applyFont="1" applyBorder="1" applyAlignment="1">
      <alignment horizontal="center"/>
    </xf>
    <xf numFmtId="38" fontId="2" fillId="0" borderId="1" xfId="0" applyNumberFormat="1" applyFont="1" applyBorder="1" applyAlignment="1">
      <alignment horizontal="center"/>
    </xf>
    <xf numFmtId="38" fontId="0" fillId="0" borderId="1" xfId="0" applyNumberFormat="1" applyBorder="1" applyAlignment="1">
      <alignment horizontal="center"/>
    </xf>
    <xf numFmtId="38" fontId="2" fillId="0" borderId="2" xfId="0" applyNumberFormat="1" applyFont="1" applyBorder="1" applyAlignment="1">
      <alignment horizontal="center"/>
    </xf>
    <xf numFmtId="0" fontId="5" fillId="0" borderId="3" xfId="0" applyFont="1" applyFill="1" applyBorder="1" applyAlignment="1">
      <alignment horizontal="center"/>
    </xf>
    <xf numFmtId="14" fontId="0" fillId="3" borderId="0" xfId="0" applyNumberFormat="1" applyFont="1" applyFill="1" applyAlignment="1">
      <alignment horizontal="center"/>
    </xf>
    <xf numFmtId="6" fontId="0" fillId="0" borderId="6" xfId="0" applyNumberFormat="1" applyBorder="1" applyAlignment="1">
      <alignment horizontal="center"/>
    </xf>
    <xf numFmtId="6" fontId="0" fillId="0" borderId="7" xfId="0" applyNumberFormat="1" applyBorder="1" applyAlignment="1">
      <alignment horizontal="center"/>
    </xf>
    <xf numFmtId="6" fontId="0" fillId="0" borderId="8" xfId="0" applyNumberFormat="1" applyBorder="1" applyAlignment="1">
      <alignment horizontal="center"/>
    </xf>
    <xf numFmtId="14" fontId="0" fillId="0" borderId="0" xfId="0" applyNumberFormat="1" applyAlignment="1">
      <alignment/>
    </xf>
    <xf numFmtId="165" fontId="0" fillId="0" borderId="0" xfId="0" applyNumberFormat="1" applyAlignment="1">
      <alignment horizontal="center"/>
    </xf>
    <xf numFmtId="168" fontId="0" fillId="0" borderId="0" xfId="0" applyNumberFormat="1" applyAlignment="1">
      <alignment horizontal="center"/>
    </xf>
    <xf numFmtId="6" fontId="3" fillId="0" borderId="0" xfId="0" applyNumberFormat="1" applyFont="1" applyAlignment="1">
      <alignment horizontal="center"/>
    </xf>
    <xf numFmtId="0" fontId="15" fillId="0" borderId="0" xfId="0" applyFont="1" applyAlignment="1">
      <alignment/>
    </xf>
    <xf numFmtId="0" fontId="27" fillId="0" borderId="0" xfId="0" applyFont="1" applyAlignment="1">
      <alignment/>
    </xf>
    <xf numFmtId="0" fontId="5" fillId="0" borderId="0" xfId="0" applyFont="1" applyAlignment="1">
      <alignment horizontal="center"/>
    </xf>
    <xf numFmtId="202" fontId="0" fillId="0" borderId="0" xfId="0" applyNumberFormat="1" applyAlignment="1">
      <alignment horizontal="center"/>
    </xf>
    <xf numFmtId="6" fontId="4" fillId="0" borderId="0" xfId="0" applyNumberFormat="1" applyFont="1" applyAlignment="1">
      <alignment horizontal="center"/>
    </xf>
    <xf numFmtId="6" fontId="0" fillId="0" borderId="0" xfId="0" applyNumberFormat="1" applyBorder="1" applyAlignment="1">
      <alignment horizontal="center"/>
    </xf>
    <xf numFmtId="6" fontId="4" fillId="0" borderId="9" xfId="0" applyNumberFormat="1" applyFont="1" applyBorder="1" applyAlignment="1">
      <alignment horizontal="center"/>
    </xf>
    <xf numFmtId="0" fontId="0" fillId="12" borderId="0" xfId="0" applyFill="1" applyAlignment="1">
      <alignment/>
    </xf>
    <xf numFmtId="6" fontId="2" fillId="0" borderId="10" xfId="0" applyNumberFormat="1" applyFont="1" applyFill="1" applyBorder="1" applyAlignment="1">
      <alignment horizontal="center"/>
    </xf>
    <xf numFmtId="0" fontId="28" fillId="3" borderId="0" xfId="0" applyFont="1" applyFill="1" applyAlignment="1">
      <alignment/>
    </xf>
    <xf numFmtId="0" fontId="0" fillId="13" borderId="0" xfId="0" applyFill="1" applyAlignment="1">
      <alignment/>
    </xf>
    <xf numFmtId="6" fontId="3" fillId="0" borderId="10" xfId="0" applyNumberFormat="1" applyFont="1" applyFill="1" applyBorder="1" applyAlignment="1">
      <alignment horizontal="center"/>
    </xf>
    <xf numFmtId="202" fontId="4" fillId="0" borderId="0" xfId="0" applyNumberFormat="1" applyFont="1" applyAlignment="1">
      <alignment horizontal="center"/>
    </xf>
    <xf numFmtId="202" fontId="3" fillId="0" borderId="0" xfId="0" applyNumberFormat="1" applyFont="1" applyAlignment="1">
      <alignment horizontal="center"/>
    </xf>
    <xf numFmtId="14" fontId="0" fillId="0" borderId="0" xfId="0" applyNumberFormat="1" applyFont="1" applyAlignment="1">
      <alignment horizontal="center"/>
    </xf>
    <xf numFmtId="8" fontId="2" fillId="0" borderId="11" xfId="0" applyNumberFormat="1" applyFont="1" applyBorder="1" applyAlignment="1">
      <alignment/>
    </xf>
    <xf numFmtId="38" fontId="2" fillId="0" borderId="12" xfId="0" applyNumberFormat="1" applyFont="1" applyBorder="1" applyAlignment="1" quotePrefix="1">
      <alignment horizontal="left"/>
    </xf>
    <xf numFmtId="0" fontId="0" fillId="0" borderId="13" xfId="0" applyBorder="1" applyAlignment="1">
      <alignment/>
    </xf>
    <xf numFmtId="0" fontId="3" fillId="0" borderId="0" xfId="0" applyFont="1" applyAlignment="1">
      <alignment/>
    </xf>
    <xf numFmtId="14" fontId="0" fillId="10" borderId="0" xfId="0" applyNumberFormat="1" applyFont="1" applyFill="1" applyAlignment="1">
      <alignment horizontal="center"/>
    </xf>
    <xf numFmtId="0" fontId="2" fillId="0" borderId="14" xfId="0" applyFont="1" applyFill="1" applyBorder="1" applyAlignment="1">
      <alignment horizontal="center"/>
    </xf>
    <xf numFmtId="0" fontId="5" fillId="0" borderId="15" xfId="0" applyFont="1" applyFill="1" applyBorder="1" applyAlignment="1">
      <alignment horizontal="center"/>
    </xf>
    <xf numFmtId="0" fontId="0" fillId="10" borderId="14" xfId="0" applyFill="1" applyBorder="1" applyAlignment="1">
      <alignment/>
    </xf>
    <xf numFmtId="0" fontId="2" fillId="0" borderId="15" xfId="0" applyFont="1" applyFill="1" applyBorder="1" applyAlignment="1">
      <alignment horizontal="center"/>
    </xf>
    <xf numFmtId="0" fontId="0" fillId="3" borderId="14" xfId="0" applyFill="1" applyBorder="1" applyAlignment="1">
      <alignment/>
    </xf>
    <xf numFmtId="14" fontId="0" fillId="3" borderId="0" xfId="0" applyNumberFormat="1" applyFill="1" applyAlignment="1">
      <alignment horizontal="center"/>
    </xf>
    <xf numFmtId="14" fontId="0" fillId="10" borderId="0" xfId="0" applyNumberFormat="1" applyFill="1" applyAlignment="1">
      <alignment horizontal="center"/>
    </xf>
    <xf numFmtId="14" fontId="0" fillId="5" borderId="0" xfId="0" applyNumberFormat="1" applyFont="1" applyFill="1" applyAlignment="1">
      <alignment horizontal="center"/>
    </xf>
    <xf numFmtId="0" fontId="0" fillId="5" borderId="14" xfId="0" applyFill="1" applyBorder="1" applyAlignment="1">
      <alignment/>
    </xf>
    <xf numFmtId="14" fontId="0" fillId="5" borderId="0" xfId="0" applyNumberFormat="1" applyFill="1" applyAlignment="1">
      <alignment horizontal="center"/>
    </xf>
    <xf numFmtId="14" fontId="0" fillId="6" borderId="0" xfId="0" applyNumberFormat="1" applyFont="1" applyFill="1" applyAlignment="1">
      <alignment horizontal="center"/>
    </xf>
    <xf numFmtId="14" fontId="0" fillId="6" borderId="0" xfId="0" applyNumberFormat="1" applyFill="1" applyAlignment="1">
      <alignment horizontal="center"/>
    </xf>
    <xf numFmtId="0" fontId="0" fillId="6" borderId="14" xfId="0" applyFill="1" applyBorder="1" applyAlignment="1">
      <alignment/>
    </xf>
    <xf numFmtId="38" fontId="2" fillId="0" borderId="0" xfId="0" applyNumberFormat="1" applyFont="1" applyBorder="1" applyAlignment="1">
      <alignment horizontal="center"/>
    </xf>
    <xf numFmtId="14" fontId="0" fillId="9" borderId="0" xfId="0" applyNumberFormat="1" applyFont="1" applyFill="1" applyAlignment="1">
      <alignment horizontal="center"/>
    </xf>
    <xf numFmtId="14" fontId="0" fillId="9" borderId="0" xfId="0" applyNumberFormat="1" applyFill="1" applyAlignment="1">
      <alignment horizontal="center"/>
    </xf>
    <xf numFmtId="0" fontId="0" fillId="9" borderId="14" xfId="0" applyFill="1" applyBorder="1" applyAlignment="1">
      <alignment/>
    </xf>
    <xf numFmtId="5" fontId="3" fillId="0" borderId="0" xfId="0" applyNumberFormat="1" applyFont="1" applyAlignment="1">
      <alignment/>
    </xf>
    <xf numFmtId="14" fontId="0" fillId="2" borderId="0" xfId="0" applyNumberFormat="1" applyFill="1" applyAlignment="1">
      <alignment horizontal="center"/>
    </xf>
    <xf numFmtId="0" fontId="0" fillId="2" borderId="14" xfId="0" applyFill="1" applyBorder="1" applyAlignment="1">
      <alignment/>
    </xf>
    <xf numFmtId="0" fontId="29" fillId="0" borderId="0" xfId="0" applyFont="1" applyAlignment="1">
      <alignment/>
    </xf>
    <xf numFmtId="8" fontId="2" fillId="0" borderId="0" xfId="0" applyNumberFormat="1" applyFont="1" applyBorder="1" applyAlignment="1">
      <alignment/>
    </xf>
    <xf numFmtId="38" fontId="2" fillId="0" borderId="0" xfId="0" applyNumberFormat="1" applyFont="1" applyBorder="1" applyAlignment="1" quotePrefix="1">
      <alignment horizontal="left"/>
    </xf>
    <xf numFmtId="5" fontId="0" fillId="0" borderId="0" xfId="0" applyNumberFormat="1" applyAlignment="1">
      <alignment horizontal="center"/>
    </xf>
    <xf numFmtId="38" fontId="0" fillId="0" borderId="16" xfId="0" applyNumberFormat="1" applyBorder="1" applyAlignment="1">
      <alignment/>
    </xf>
    <xf numFmtId="6" fontId="2" fillId="0" borderId="0" xfId="0" applyNumberFormat="1" applyFont="1" applyAlignment="1">
      <alignment/>
    </xf>
    <xf numFmtId="0" fontId="30" fillId="0" borderId="0" xfId="20" applyFont="1" applyAlignment="1">
      <alignment/>
    </xf>
    <xf numFmtId="0" fontId="23" fillId="0" borderId="0" xfId="0" applyFont="1" applyAlignment="1">
      <alignment/>
    </xf>
    <xf numFmtId="0" fontId="0" fillId="10" borderId="0" xfId="0" applyFont="1" applyFill="1" applyBorder="1" applyAlignment="1">
      <alignment horizontal="center"/>
    </xf>
    <xf numFmtId="165" fontId="2" fillId="10" borderId="0" xfId="0" applyNumberFormat="1" applyFont="1" applyFill="1" applyBorder="1" applyAlignment="1">
      <alignment horizontal="center"/>
    </xf>
    <xf numFmtId="165" fontId="2" fillId="10" borderId="0" xfId="0" applyNumberFormat="1" applyFont="1" applyFill="1" applyBorder="1" applyAlignment="1">
      <alignment/>
    </xf>
    <xf numFmtId="166" fontId="0" fillId="10" borderId="0" xfId="0" applyNumberFormat="1" applyFont="1" applyFill="1" applyBorder="1" applyAlignment="1">
      <alignment horizontal="center"/>
    </xf>
    <xf numFmtId="0" fontId="0" fillId="10" borderId="0" xfId="0" applyFill="1" applyBorder="1" applyAlignment="1">
      <alignment horizontal="center"/>
    </xf>
    <xf numFmtId="0" fontId="0" fillId="0" borderId="0" xfId="0" applyFont="1" applyFill="1" applyBorder="1" applyAlignment="1">
      <alignment horizontal="center"/>
    </xf>
    <xf numFmtId="165" fontId="2" fillId="0" borderId="0" xfId="0" applyNumberFormat="1" applyFont="1" applyFill="1" applyBorder="1" applyAlignment="1">
      <alignment horizontal="center"/>
    </xf>
    <xf numFmtId="165" fontId="2" fillId="0" borderId="0" xfId="0" applyNumberFormat="1" applyFont="1" applyFill="1" applyBorder="1" applyAlignment="1">
      <alignment/>
    </xf>
    <xf numFmtId="166"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5" fontId="0" fillId="0" borderId="0" xfId="0" applyNumberFormat="1" applyFont="1" applyAlignment="1">
      <alignment/>
    </xf>
    <xf numFmtId="202" fontId="0" fillId="0" borderId="0" xfId="0" applyNumberFormat="1" applyFont="1" applyAlignment="1">
      <alignment horizontal="center"/>
    </xf>
    <xf numFmtId="186" fontId="0" fillId="2" borderId="3" xfId="0" applyNumberFormat="1" applyFont="1" applyFill="1" applyBorder="1" applyAlignment="1">
      <alignment horizontal="center"/>
    </xf>
    <xf numFmtId="186" fontId="0" fillId="3" borderId="1" xfId="0" applyNumberFormat="1" applyFont="1" applyFill="1" applyBorder="1" applyAlignment="1">
      <alignment horizontal="center"/>
    </xf>
    <xf numFmtId="186" fontId="0" fillId="4" borderId="1" xfId="0" applyNumberFormat="1" applyFont="1" applyFill="1" applyBorder="1" applyAlignment="1">
      <alignment horizontal="center"/>
    </xf>
    <xf numFmtId="186" fontId="0" fillId="5" borderId="1" xfId="0" applyNumberFormat="1" applyFont="1" applyFill="1" applyBorder="1" applyAlignment="1">
      <alignment horizontal="center"/>
    </xf>
    <xf numFmtId="186" fontId="0" fillId="6" borderId="1" xfId="0" applyNumberFormat="1" applyFont="1" applyFill="1" applyBorder="1" applyAlignment="1">
      <alignment horizontal="center"/>
    </xf>
    <xf numFmtId="186" fontId="0" fillId="9" borderId="1" xfId="0" applyNumberFormat="1" applyFont="1" applyFill="1" applyBorder="1" applyAlignment="1">
      <alignment horizontal="center"/>
    </xf>
    <xf numFmtId="186" fontId="0" fillId="2" borderId="1" xfId="0" applyNumberFormat="1" applyFont="1" applyFill="1" applyBorder="1" applyAlignment="1">
      <alignment horizontal="center"/>
    </xf>
    <xf numFmtId="186" fontId="0" fillId="10" borderId="2" xfId="0" applyNumberFormat="1" applyFont="1" applyFill="1" applyBorder="1" applyAlignment="1">
      <alignment horizontal="center"/>
    </xf>
    <xf numFmtId="0" fontId="2" fillId="0" borderId="0" xfId="0" applyFont="1" applyAlignment="1">
      <alignment horizontal="right"/>
    </xf>
    <xf numFmtId="202" fontId="2" fillId="0" borderId="0" xfId="0" applyNumberFormat="1" applyFont="1" applyAlignment="1">
      <alignment horizontal="center"/>
    </xf>
    <xf numFmtId="202" fontId="0" fillId="0" borderId="17" xfId="0" applyNumberFormat="1" applyFont="1" applyBorder="1" applyAlignment="1">
      <alignment horizontal="center"/>
    </xf>
    <xf numFmtId="202" fontId="3" fillId="0" borderId="17"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Example 2 Swap Payments</a:t>
            </a:r>
          </a:p>
        </c:rich>
      </c:tx>
      <c:layout/>
      <c:spPr>
        <a:noFill/>
        <a:ln>
          <a:noFill/>
        </a:ln>
      </c:spPr>
    </c:title>
    <c:plotArea>
      <c:layout>
        <c:manualLayout>
          <c:xMode val="edge"/>
          <c:yMode val="edge"/>
          <c:x val="0.023"/>
          <c:y val="0.10825"/>
          <c:w val="0.94875"/>
          <c:h val="0.8745"/>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Questions!$E$60:$E$67</c:f>
              <c:numCache>
                <c:ptCount val="8"/>
                <c:pt idx="0">
                  <c:v>0</c:v>
                </c:pt>
                <c:pt idx="1">
                  <c:v>0</c:v>
                </c:pt>
                <c:pt idx="2">
                  <c:v>0</c:v>
                </c:pt>
                <c:pt idx="3">
                  <c:v>0</c:v>
                </c:pt>
                <c:pt idx="4">
                  <c:v>0</c:v>
                </c:pt>
                <c:pt idx="5">
                  <c:v>0</c:v>
                </c:pt>
                <c:pt idx="6">
                  <c:v>0</c:v>
                </c:pt>
                <c:pt idx="7">
                  <c:v>0</c:v>
                </c:pt>
              </c:numCache>
            </c:numRef>
          </c:val>
        </c:ser>
        <c:axId val="9939908"/>
        <c:axId val="22350309"/>
      </c:barChart>
      <c:catAx>
        <c:axId val="9939908"/>
        <c:scaling>
          <c:orientation val="minMax"/>
        </c:scaling>
        <c:axPos val="b"/>
        <c:delete val="1"/>
        <c:majorTickMark val="out"/>
        <c:minorTickMark val="none"/>
        <c:tickLblPos val="nextTo"/>
        <c:crossAx val="22350309"/>
        <c:crosses val="autoZero"/>
        <c:auto val="1"/>
        <c:lblOffset val="100"/>
        <c:noMultiLvlLbl val="0"/>
      </c:catAx>
      <c:valAx>
        <c:axId val="22350309"/>
        <c:scaling>
          <c:orientation val="minMax"/>
        </c:scaling>
        <c:axPos val="l"/>
        <c:majorGridlines/>
        <c:delete val="0"/>
        <c:numFmt formatCode="General" sourceLinked="1"/>
        <c:majorTickMark val="out"/>
        <c:minorTickMark val="none"/>
        <c:tickLblPos val="nextTo"/>
        <c:crossAx val="993990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Example 2 Swap Current Value</a:t>
            </a:r>
          </a:p>
        </c:rich>
      </c:tx>
      <c:layout/>
      <c:spPr>
        <a:noFill/>
        <a:ln>
          <a:noFill/>
        </a:ln>
      </c:spPr>
    </c:title>
    <c:plotArea>
      <c:layout>
        <c:manualLayout>
          <c:xMode val="edge"/>
          <c:yMode val="edge"/>
          <c:x val="0.024"/>
          <c:y val="0.139"/>
          <c:w val="0.9465"/>
          <c:h val="0.843"/>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Questions!$E$60:$E$67</c:f>
              <c:numCache>
                <c:ptCount val="8"/>
                <c:pt idx="0">
                  <c:v>0</c:v>
                </c:pt>
                <c:pt idx="1">
                  <c:v>0</c:v>
                </c:pt>
                <c:pt idx="2">
                  <c:v>0</c:v>
                </c:pt>
                <c:pt idx="3">
                  <c:v>0</c:v>
                </c:pt>
                <c:pt idx="4">
                  <c:v>0</c:v>
                </c:pt>
                <c:pt idx="5">
                  <c:v>0</c:v>
                </c:pt>
                <c:pt idx="6">
                  <c:v>0</c:v>
                </c:pt>
                <c:pt idx="7">
                  <c:v>0</c:v>
                </c:pt>
              </c:numCache>
            </c:numRef>
          </c:val>
        </c:ser>
        <c:axId val="66935054"/>
        <c:axId val="65544575"/>
      </c:barChart>
      <c:catAx>
        <c:axId val="66935054"/>
        <c:scaling>
          <c:orientation val="minMax"/>
        </c:scaling>
        <c:axPos val="b"/>
        <c:delete val="1"/>
        <c:majorTickMark val="out"/>
        <c:minorTickMark val="none"/>
        <c:tickLblPos val="nextTo"/>
        <c:crossAx val="65544575"/>
        <c:crosses val="autoZero"/>
        <c:auto val="1"/>
        <c:lblOffset val="100"/>
        <c:noMultiLvlLbl val="0"/>
      </c:catAx>
      <c:valAx>
        <c:axId val="65544575"/>
        <c:scaling>
          <c:orientation val="minMax"/>
        </c:scaling>
        <c:axPos val="l"/>
        <c:majorGridlines/>
        <c:delete val="0"/>
        <c:numFmt formatCode="General" sourceLinked="1"/>
        <c:majorTickMark val="out"/>
        <c:minorTickMark val="none"/>
        <c:tickLblPos val="nextTo"/>
        <c:crossAx val="6693505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Quarterly Rates in Example 2</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marker val="1"/>
        <c:axId val="53030264"/>
        <c:axId val="7510329"/>
      </c:lineChart>
      <c:catAx>
        <c:axId val="53030264"/>
        <c:scaling>
          <c:orientation val="minMax"/>
        </c:scaling>
        <c:axPos val="b"/>
        <c:delete val="0"/>
        <c:numFmt formatCode="General" sourceLinked="1"/>
        <c:majorTickMark val="out"/>
        <c:minorTickMark val="none"/>
        <c:tickLblPos val="nextTo"/>
        <c:crossAx val="7510329"/>
        <c:crosses val="autoZero"/>
        <c:auto val="1"/>
        <c:lblOffset val="100"/>
        <c:noMultiLvlLbl val="0"/>
      </c:catAx>
      <c:valAx>
        <c:axId val="7510329"/>
        <c:scaling>
          <c:orientation val="minMax"/>
        </c:scaling>
        <c:axPos val="l"/>
        <c:majorGridlines/>
        <c:delete val="0"/>
        <c:numFmt formatCode="General" sourceLinked="1"/>
        <c:majorTickMark val="out"/>
        <c:minorTickMark val="none"/>
        <c:tickLblPos val="nextTo"/>
        <c:crossAx val="530302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Quarterly Rates in Example 2</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mooth val="0"/>
        </c:ser>
        <c:marker val="1"/>
        <c:axId val="484098"/>
        <c:axId val="4356883"/>
      </c:lineChart>
      <c:catAx>
        <c:axId val="484098"/>
        <c:scaling>
          <c:orientation val="minMax"/>
        </c:scaling>
        <c:axPos val="b"/>
        <c:delete val="0"/>
        <c:numFmt formatCode="General" sourceLinked="1"/>
        <c:majorTickMark val="out"/>
        <c:minorTickMark val="none"/>
        <c:tickLblPos val="nextTo"/>
        <c:crossAx val="4356883"/>
        <c:crosses val="autoZero"/>
        <c:auto val="1"/>
        <c:lblOffset val="100"/>
        <c:noMultiLvlLbl val="0"/>
      </c:catAx>
      <c:valAx>
        <c:axId val="4356883"/>
        <c:scaling>
          <c:orientation val="minMax"/>
        </c:scaling>
        <c:axPos val="l"/>
        <c:majorGridlines/>
        <c:delete val="0"/>
        <c:numFmt formatCode="General" sourceLinked="1"/>
        <c:majorTickMark val="out"/>
        <c:minorTickMark val="none"/>
        <c:tickLblPos val="nextTo"/>
        <c:crossAx val="4840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88</xdr:row>
      <xdr:rowOff>85725</xdr:rowOff>
    </xdr:from>
    <xdr:to>
      <xdr:col>11</xdr:col>
      <xdr:colOff>257175</xdr:colOff>
      <xdr:row>102</xdr:row>
      <xdr:rowOff>104775</xdr:rowOff>
    </xdr:to>
    <xdr:graphicFrame>
      <xdr:nvGraphicFramePr>
        <xdr:cNvPr id="1" name="Chart 6"/>
        <xdr:cNvGraphicFramePr/>
      </xdr:nvGraphicFramePr>
      <xdr:xfrm>
        <a:off x="3209925" y="14373225"/>
        <a:ext cx="3819525" cy="2286000"/>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54</xdr:row>
      <xdr:rowOff>28575</xdr:rowOff>
    </xdr:from>
    <xdr:to>
      <xdr:col>11</xdr:col>
      <xdr:colOff>161925</xdr:colOff>
      <xdr:row>67</xdr:row>
      <xdr:rowOff>133350</xdr:rowOff>
    </xdr:to>
    <xdr:graphicFrame>
      <xdr:nvGraphicFramePr>
        <xdr:cNvPr id="2" name="Chart 7"/>
        <xdr:cNvGraphicFramePr/>
      </xdr:nvGraphicFramePr>
      <xdr:xfrm>
        <a:off x="3286125" y="8810625"/>
        <a:ext cx="3648075" cy="2209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191</xdr:row>
      <xdr:rowOff>142875</xdr:rowOff>
    </xdr:from>
    <xdr:to>
      <xdr:col>17</xdr:col>
      <xdr:colOff>381000</xdr:colOff>
      <xdr:row>217</xdr:row>
      <xdr:rowOff>76200</xdr:rowOff>
    </xdr:to>
    <xdr:graphicFrame>
      <xdr:nvGraphicFramePr>
        <xdr:cNvPr id="1" name="Chart 107"/>
        <xdr:cNvGraphicFramePr/>
      </xdr:nvGraphicFramePr>
      <xdr:xfrm>
        <a:off x="10163175" y="31337250"/>
        <a:ext cx="41052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66</xdr:row>
      <xdr:rowOff>142875</xdr:rowOff>
    </xdr:from>
    <xdr:to>
      <xdr:col>17</xdr:col>
      <xdr:colOff>381000</xdr:colOff>
      <xdr:row>92</xdr:row>
      <xdr:rowOff>76200</xdr:rowOff>
    </xdr:to>
    <xdr:graphicFrame>
      <xdr:nvGraphicFramePr>
        <xdr:cNvPr id="1" name="Chart 84"/>
        <xdr:cNvGraphicFramePr/>
      </xdr:nvGraphicFramePr>
      <xdr:xfrm>
        <a:off x="10163175" y="11049000"/>
        <a:ext cx="4105275"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nity.edu/rjensen/acct5341/speakers/133glosf.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rinity.edu/rjensen/acct5341/speakers/133glosf.htm" TargetMode="External" /><Relationship Id="rId2" Type="http://schemas.openxmlformats.org/officeDocument/2006/relationships/hyperlink" Target="http://www.trinity.edu/rjensen/acct5341/speakers/133glosf.htm" TargetMode="External" /><Relationship Id="rId3" Type="http://schemas.openxmlformats.org/officeDocument/2006/relationships/hyperlink" Target="http://www.trinity.edu/rjensen/caseans/133exh02a.htm" TargetMode="External" /><Relationship Id="rId4" Type="http://schemas.openxmlformats.org/officeDocument/2006/relationships/hyperlink" Target="http://www.trinity.edu/rjensen/acct5341/speakers/133glosf.htm" TargetMode="External" /><Relationship Id="rId5" Type="http://schemas.openxmlformats.org/officeDocument/2006/relationships/hyperlink" Target="http://www.trinity.edu/rjensen/caseans/133exh02a.htm" TargetMode="External" /><Relationship Id="rId6" Type="http://schemas.openxmlformats.org/officeDocument/2006/relationships/oleObject" Target="../embeddings/oleObject_1_0.bin" /><Relationship Id="rId7" Type="http://schemas.openxmlformats.org/officeDocument/2006/relationships/oleObject" Target="../embeddings/oleObject_1_1.bin" /><Relationship Id="rId8" Type="http://schemas.openxmlformats.org/officeDocument/2006/relationships/oleObject" Target="../embeddings/oleObject_1_2.bin" /><Relationship Id="rId9" Type="http://schemas.openxmlformats.org/officeDocument/2006/relationships/oleObject" Target="../embeddings/oleObject_1_3.bin" /><Relationship Id="rId10" Type="http://schemas.openxmlformats.org/officeDocument/2006/relationships/vmlDrawing" Target="../drawings/vmlDrawing2.vml" /><Relationship Id="rId11" Type="http://schemas.openxmlformats.org/officeDocument/2006/relationships/drawing" Target="../drawings/drawing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AM233"/>
  <sheetViews>
    <sheetView workbookViewId="0" topLeftCell="A1">
      <selection activeCell="A1" sqref="A1"/>
    </sheetView>
  </sheetViews>
  <sheetFormatPr defaultColWidth="9.140625" defaultRowHeight="12.75"/>
  <cols>
    <col min="1" max="1" width="10.140625" style="41" customWidth="1"/>
    <col min="2" max="2" width="9.140625" style="41" customWidth="1"/>
  </cols>
  <sheetData>
    <row r="1" ht="12.75">
      <c r="A1" s="125" t="s">
        <v>135</v>
      </c>
    </row>
    <row r="2" ht="15.75">
      <c r="A2" s="242" t="s">
        <v>321</v>
      </c>
    </row>
    <row r="3" spans="1:10" ht="12.75">
      <c r="A3" s="1" t="s">
        <v>116</v>
      </c>
      <c r="H3" s="1"/>
      <c r="I3" s="1"/>
      <c r="J3" s="2"/>
    </row>
    <row r="4" spans="2:10" ht="12.75">
      <c r="B4" s="42" t="s">
        <v>25</v>
      </c>
      <c r="I4" s="1"/>
      <c r="J4" s="2"/>
    </row>
    <row r="6" spans="1:14" ht="12.75">
      <c r="A6" s="41" t="s">
        <v>56</v>
      </c>
      <c r="B6" s="43"/>
      <c r="H6" s="1"/>
      <c r="I6" s="1"/>
      <c r="J6" s="40"/>
      <c r="L6" s="1"/>
      <c r="M6" s="1"/>
      <c r="N6" s="40"/>
    </row>
    <row r="7" spans="1:14" ht="12.75">
      <c r="A7" s="41" t="s">
        <v>57</v>
      </c>
      <c r="B7" s="43"/>
      <c r="H7" s="1"/>
      <c r="I7" s="1"/>
      <c r="J7" s="40"/>
      <c r="L7" s="1"/>
      <c r="M7" s="1"/>
      <c r="N7" s="40"/>
    </row>
    <row r="8" spans="1:14" ht="12.75">
      <c r="A8" s="41" t="s">
        <v>54</v>
      </c>
      <c r="B8" s="43"/>
      <c r="H8" s="1"/>
      <c r="I8" s="1"/>
      <c r="J8" s="40"/>
      <c r="L8" s="1"/>
      <c r="M8" s="1"/>
      <c r="N8" s="40"/>
    </row>
    <row r="9" spans="1:14" ht="12.75">
      <c r="A9" s="41" t="s">
        <v>55</v>
      </c>
      <c r="B9" s="43"/>
      <c r="H9" s="1"/>
      <c r="I9" s="1"/>
      <c r="J9" s="40"/>
      <c r="L9" s="1"/>
      <c r="M9" s="1"/>
      <c r="N9" s="40"/>
    </row>
    <row r="10" spans="2:14" ht="12.75">
      <c r="B10" s="43" t="s">
        <v>58</v>
      </c>
      <c r="H10" s="1"/>
      <c r="I10" s="1"/>
      <c r="J10" s="40"/>
      <c r="L10" s="1"/>
      <c r="M10" s="1"/>
      <c r="N10" s="40"/>
    </row>
    <row r="11" spans="2:14" ht="12.75">
      <c r="B11" s="43"/>
      <c r="H11" s="1"/>
      <c r="I11" s="1"/>
      <c r="J11" s="40"/>
      <c r="L11" s="1"/>
      <c r="M11" s="1"/>
      <c r="N11" s="40"/>
    </row>
    <row r="12" spans="1:14" ht="12.75">
      <c r="A12" s="4"/>
      <c r="B12" s="24"/>
      <c r="C12" s="24"/>
      <c r="D12" s="24"/>
      <c r="E12" s="24"/>
      <c r="H12" s="1"/>
      <c r="I12" s="1"/>
      <c r="J12" s="40"/>
      <c r="L12" s="1"/>
      <c r="M12" s="1"/>
      <c r="N12" s="40"/>
    </row>
    <row r="13" spans="1:14" ht="12.75">
      <c r="A13" s="4"/>
      <c r="B13" s="24"/>
      <c r="C13" s="24"/>
      <c r="D13" s="24"/>
      <c r="E13" s="24"/>
      <c r="H13" s="1"/>
      <c r="I13" s="1"/>
      <c r="J13" s="40"/>
      <c r="L13" s="1"/>
      <c r="M13" s="1"/>
      <c r="N13" s="40"/>
    </row>
    <row r="14" spans="1:14" ht="12.75">
      <c r="A14" s="4"/>
      <c r="B14" s="24"/>
      <c r="C14" s="24"/>
      <c r="D14" s="24"/>
      <c r="E14" s="24"/>
      <c r="H14" s="1"/>
      <c r="I14" s="1"/>
      <c r="J14" s="40"/>
      <c r="L14" s="1"/>
      <c r="M14" s="1"/>
      <c r="N14" s="40"/>
    </row>
    <row r="15" spans="1:14" ht="12.75">
      <c r="A15" s="4"/>
      <c r="B15" s="24"/>
      <c r="C15" s="24"/>
      <c r="D15" s="24"/>
      <c r="E15" s="24"/>
      <c r="H15" s="1"/>
      <c r="I15" s="1"/>
      <c r="J15" s="40"/>
      <c r="L15" s="1"/>
      <c r="M15" s="1"/>
      <c r="N15" s="40"/>
    </row>
    <row r="16" spans="1:14" ht="12.75">
      <c r="A16" s="4"/>
      <c r="B16" s="24"/>
      <c r="C16" s="24"/>
      <c r="D16" s="24"/>
      <c r="E16" s="24"/>
      <c r="H16" s="1"/>
      <c r="I16" s="1"/>
      <c r="J16" s="40"/>
      <c r="L16" s="1"/>
      <c r="M16" s="1"/>
      <c r="N16" s="40"/>
    </row>
    <row r="17" spans="1:14" ht="12.75">
      <c r="A17" s="4"/>
      <c r="B17" s="24"/>
      <c r="C17" s="24"/>
      <c r="D17" s="24"/>
      <c r="E17" s="24"/>
      <c r="H17" s="1"/>
      <c r="I17" s="1"/>
      <c r="J17" s="40"/>
      <c r="L17" s="1"/>
      <c r="M17" s="1"/>
      <c r="N17" s="40"/>
    </row>
    <row r="18" spans="1:14" ht="12.75">
      <c r="A18" s="4"/>
      <c r="B18" s="24"/>
      <c r="C18" s="24"/>
      <c r="D18" s="24"/>
      <c r="E18" s="24"/>
      <c r="H18" s="1"/>
      <c r="I18" s="1"/>
      <c r="J18" s="40"/>
      <c r="L18" s="1"/>
      <c r="M18" s="1"/>
      <c r="N18" s="40"/>
    </row>
    <row r="19" spans="1:14" ht="12.75">
      <c r="A19" s="4"/>
      <c r="B19" s="24"/>
      <c r="C19" s="24"/>
      <c r="D19" s="24"/>
      <c r="E19" s="24"/>
      <c r="H19" s="1"/>
      <c r="I19" s="1"/>
      <c r="J19" s="40"/>
      <c r="L19" s="1"/>
      <c r="M19" s="1"/>
      <c r="N19" s="40"/>
    </row>
    <row r="20" spans="2:14" ht="12.75">
      <c r="B20"/>
      <c r="H20" s="1"/>
      <c r="I20" s="1"/>
      <c r="J20" s="40"/>
      <c r="L20" s="1"/>
      <c r="M20" s="1"/>
      <c r="N20" s="40"/>
    </row>
    <row r="21" spans="2:14" ht="12.75">
      <c r="B21"/>
      <c r="H21" s="1"/>
      <c r="I21" s="1"/>
      <c r="J21" s="40"/>
      <c r="L21" s="1"/>
      <c r="M21" s="1"/>
      <c r="N21" s="40"/>
    </row>
    <row r="22" spans="2:14" ht="12.75">
      <c r="B22"/>
      <c r="H22" s="1"/>
      <c r="I22" s="1"/>
      <c r="J22" s="40"/>
      <c r="L22" s="1"/>
      <c r="M22" s="1"/>
      <c r="N22" s="40"/>
    </row>
    <row r="23" spans="2:14" ht="12.75">
      <c r="B23"/>
      <c r="H23" s="1"/>
      <c r="I23" s="1"/>
      <c r="J23" s="40"/>
      <c r="L23" s="1"/>
      <c r="M23" s="1"/>
      <c r="N23" s="40"/>
    </row>
    <row r="24" spans="1:14" ht="12.75">
      <c r="A24" t="s">
        <v>199</v>
      </c>
      <c r="B24"/>
      <c r="H24" s="1"/>
      <c r="I24" s="1"/>
      <c r="J24" s="40"/>
      <c r="L24" s="1"/>
      <c r="M24" s="1"/>
      <c r="N24" s="40"/>
    </row>
    <row r="25" spans="1:7" s="46" customFormat="1" ht="12.75">
      <c r="A25" t="s">
        <v>319</v>
      </c>
      <c r="B25"/>
      <c r="C25"/>
      <c r="D25" s="241" t="s">
        <v>318</v>
      </c>
      <c r="E25"/>
      <c r="F25"/>
      <c r="G25"/>
    </row>
    <row r="26" spans="1:7" s="46" customFormat="1" ht="12.75">
      <c r="A26"/>
      <c r="B26"/>
      <c r="C26"/>
      <c r="D26" s="241"/>
      <c r="E26"/>
      <c r="F26"/>
      <c r="G26"/>
    </row>
    <row r="27" spans="1:2" s="46" customFormat="1" ht="12.75">
      <c r="A27" s="4" t="s">
        <v>118</v>
      </c>
      <c r="B27" s="44" t="s">
        <v>26</v>
      </c>
    </row>
    <row r="28" spans="1:2" s="46" customFormat="1" ht="12.75">
      <c r="A28" s="131" t="s">
        <v>140</v>
      </c>
      <c r="B28" s="44"/>
    </row>
    <row r="29" spans="1:39" s="46" customFormat="1"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row>
    <row r="30" spans="1:2" ht="12.75">
      <c r="A30" s="130" t="s">
        <v>176</v>
      </c>
      <c r="B30"/>
    </row>
    <row r="31" spans="1:2" ht="12.75">
      <c r="A31" s="130" t="s">
        <v>136</v>
      </c>
      <c r="B31"/>
    </row>
    <row r="32" spans="1:2" ht="12.75">
      <c r="A32" s="130" t="s">
        <v>137</v>
      </c>
      <c r="B32"/>
    </row>
    <row r="33" spans="1:2" ht="12.75">
      <c r="A33" s="130" t="s">
        <v>138</v>
      </c>
      <c r="B33"/>
    </row>
    <row r="34" spans="1:2" ht="12.75">
      <c r="A34" s="130" t="s">
        <v>139</v>
      </c>
      <c r="B34"/>
    </row>
    <row r="35" spans="1:2" s="46" customFormat="1" ht="12.75">
      <c r="A35" s="126"/>
      <c r="B35" s="44"/>
    </row>
    <row r="36" spans="1:2" s="46" customFormat="1" ht="12.75">
      <c r="A36" t="s">
        <v>125</v>
      </c>
      <c r="B36" s="44"/>
    </row>
    <row r="37" spans="1:2" s="46" customFormat="1" ht="12.75">
      <c r="A37" t="s">
        <v>126</v>
      </c>
      <c r="B37" s="44"/>
    </row>
    <row r="38" spans="1:2" s="46" customFormat="1" ht="12.75">
      <c r="A38" s="33"/>
      <c r="B38" s="44"/>
    </row>
    <row r="39" spans="1:3" s="46" customFormat="1" ht="12.75">
      <c r="A39" s="91">
        <v>1</v>
      </c>
      <c r="B39" s="94" t="s">
        <v>115</v>
      </c>
      <c r="C39" s="93"/>
    </row>
    <row r="40" spans="1:2" s="46" customFormat="1" ht="12.75">
      <c r="A40" s="4">
        <v>1</v>
      </c>
      <c r="B40" s="52" t="s">
        <v>150</v>
      </c>
    </row>
    <row r="41" spans="1:2" s="46" customFormat="1" ht="12.75">
      <c r="A41" s="4">
        <v>1</v>
      </c>
      <c r="B41" s="52" t="s">
        <v>151</v>
      </c>
    </row>
    <row r="42" spans="1:2" s="46" customFormat="1" ht="12.75">
      <c r="A42" s="4">
        <v>1</v>
      </c>
      <c r="B42" s="45"/>
    </row>
    <row r="43" spans="1:2" s="46" customFormat="1" ht="12.75">
      <c r="A43" s="4">
        <v>1</v>
      </c>
      <c r="B43" s="44" t="s">
        <v>61</v>
      </c>
    </row>
    <row r="44" spans="1:2" s="46" customFormat="1" ht="12.75">
      <c r="A44" s="4">
        <v>1</v>
      </c>
      <c r="B44" s="44" t="s">
        <v>62</v>
      </c>
    </row>
    <row r="45" spans="1:2" s="46" customFormat="1" ht="12.75">
      <c r="A45" s="4">
        <v>1</v>
      </c>
      <c r="B45" s="44" t="s">
        <v>63</v>
      </c>
    </row>
    <row r="46" spans="1:2" s="46" customFormat="1" ht="12.75">
      <c r="A46" s="4">
        <v>1</v>
      </c>
      <c r="B46" s="44" t="s">
        <v>64</v>
      </c>
    </row>
    <row r="47" spans="1:2" s="46" customFormat="1" ht="12.75">
      <c r="A47" s="4">
        <v>1</v>
      </c>
      <c r="B47" s="44" t="s">
        <v>177</v>
      </c>
    </row>
    <row r="48" spans="1:2" s="46" customFormat="1" ht="12.75">
      <c r="A48" s="4">
        <v>1</v>
      </c>
      <c r="B48" s="44" t="s">
        <v>160</v>
      </c>
    </row>
    <row r="49" spans="1:6" s="46" customFormat="1" ht="12.75">
      <c r="A49" s="4">
        <v>1</v>
      </c>
      <c r="B49" s="44" t="s">
        <v>65</v>
      </c>
      <c r="C49" s="3"/>
      <c r="D49" s="3"/>
      <c r="E49" s="3"/>
      <c r="F49" s="3"/>
    </row>
    <row r="50" spans="1:6" s="46" customFormat="1" ht="12.75">
      <c r="A50" s="4">
        <v>1</v>
      </c>
      <c r="B50" s="44" t="s">
        <v>66</v>
      </c>
      <c r="C50" s="3"/>
      <c r="D50" s="3"/>
      <c r="E50" s="3"/>
      <c r="F50" s="3"/>
    </row>
    <row r="51" spans="1:6" s="46" customFormat="1" ht="12.75">
      <c r="A51" s="4">
        <v>1</v>
      </c>
      <c r="B51" s="44" t="s">
        <v>67</v>
      </c>
      <c r="C51" s="3"/>
      <c r="D51" s="3"/>
      <c r="E51" s="3"/>
      <c r="F51" s="3"/>
    </row>
    <row r="52" spans="1:2" s="46" customFormat="1" ht="12.75">
      <c r="A52" s="4">
        <v>1</v>
      </c>
      <c r="B52" s="44" t="s">
        <v>68</v>
      </c>
    </row>
    <row r="53" spans="1:2" s="46" customFormat="1" ht="12.75">
      <c r="A53" s="4">
        <v>1</v>
      </c>
      <c r="B53" s="44"/>
    </row>
    <row r="54" spans="1:2" s="46" customFormat="1" ht="12.75">
      <c r="A54" s="4">
        <v>1</v>
      </c>
      <c r="B54" s="44" t="s">
        <v>86</v>
      </c>
    </row>
    <row r="55" spans="1:2" s="46" customFormat="1" ht="12.75">
      <c r="A55" s="4">
        <v>1</v>
      </c>
      <c r="B55" s="44"/>
    </row>
    <row r="56" spans="1:6" s="46" customFormat="1" ht="12.75">
      <c r="A56" s="4">
        <v>1</v>
      </c>
      <c r="B56" s="55"/>
      <c r="C56" s="49" t="s">
        <v>41</v>
      </c>
      <c r="D56" s="49" t="s">
        <v>42</v>
      </c>
      <c r="E56" s="49" t="s">
        <v>42</v>
      </c>
      <c r="F56" s="46" t="s">
        <v>35</v>
      </c>
    </row>
    <row r="57" spans="1:5" s="46" customFormat="1" ht="12.75">
      <c r="A57" s="4">
        <v>1</v>
      </c>
      <c r="B57" s="56"/>
      <c r="C57" s="64" t="s">
        <v>112</v>
      </c>
      <c r="D57" s="64" t="s">
        <v>46</v>
      </c>
      <c r="E57" s="64" t="s">
        <v>46</v>
      </c>
    </row>
    <row r="58" spans="1:7" s="46" customFormat="1" ht="12.75">
      <c r="A58" s="4">
        <v>1</v>
      </c>
      <c r="B58" s="65" t="s">
        <v>27</v>
      </c>
      <c r="C58" s="17" t="s">
        <v>28</v>
      </c>
      <c r="D58" s="65" t="s">
        <v>29</v>
      </c>
      <c r="E58" s="65" t="s">
        <v>43</v>
      </c>
      <c r="F58"/>
      <c r="G58" s="46" t="s">
        <v>35</v>
      </c>
    </row>
    <row r="59" spans="1:6" s="46" customFormat="1" ht="12.75">
      <c r="A59" s="4">
        <v>1</v>
      </c>
      <c r="B59" s="57" t="s">
        <v>30</v>
      </c>
      <c r="C59" s="68">
        <v>1000000</v>
      </c>
      <c r="D59" s="57">
        <v>1000000</v>
      </c>
      <c r="E59" s="48">
        <f aca="true" t="shared" si="0" ref="E59:E66">D59-C59</f>
        <v>0</v>
      </c>
      <c r="F59"/>
    </row>
    <row r="60" spans="1:6" s="46" customFormat="1" ht="12.75">
      <c r="A60" s="4">
        <v>1</v>
      </c>
      <c r="B60" s="58" t="s">
        <v>31</v>
      </c>
      <c r="C60" s="70">
        <v>1000000</v>
      </c>
      <c r="D60" s="58">
        <v>998851</v>
      </c>
      <c r="E60" s="71">
        <f t="shared" si="0"/>
        <v>-1149</v>
      </c>
      <c r="F60"/>
    </row>
    <row r="61" spans="1:6" s="46" customFormat="1" ht="12.75">
      <c r="A61" s="4">
        <v>1</v>
      </c>
      <c r="B61" s="59" t="s">
        <v>32</v>
      </c>
      <c r="C61" s="72">
        <v>1000000</v>
      </c>
      <c r="D61" s="59">
        <v>1000000</v>
      </c>
      <c r="E61" s="73">
        <f t="shared" si="0"/>
        <v>0</v>
      </c>
      <c r="F61"/>
    </row>
    <row r="62" spans="1:6" s="46" customFormat="1" ht="12.75">
      <c r="A62" s="4">
        <v>1</v>
      </c>
      <c r="B62" s="60" t="s">
        <v>33</v>
      </c>
      <c r="C62" s="74">
        <v>1000000</v>
      </c>
      <c r="D62" s="60">
        <v>1001074</v>
      </c>
      <c r="E62" s="75">
        <f t="shared" si="0"/>
        <v>1074</v>
      </c>
      <c r="F62"/>
    </row>
    <row r="63" spans="1:6" s="46" customFormat="1" ht="12.75">
      <c r="A63" s="4">
        <v>1</v>
      </c>
      <c r="B63" s="61" t="s">
        <v>34</v>
      </c>
      <c r="C63" s="76">
        <v>1000000</v>
      </c>
      <c r="D63" s="61">
        <v>988645</v>
      </c>
      <c r="E63" s="77">
        <f t="shared" si="0"/>
        <v>-11355</v>
      </c>
      <c r="F63"/>
    </row>
    <row r="64" spans="1:6" s="46" customFormat="1" ht="12.75">
      <c r="A64" s="4">
        <v>1</v>
      </c>
      <c r="B64" s="62" t="s">
        <v>51</v>
      </c>
      <c r="C64" s="78">
        <v>1000000</v>
      </c>
      <c r="D64" s="62">
        <v>990615</v>
      </c>
      <c r="E64" s="79">
        <f t="shared" si="0"/>
        <v>-9385</v>
      </c>
      <c r="F64"/>
    </row>
    <row r="65" spans="1:6" s="46" customFormat="1" ht="12.75">
      <c r="A65" s="4">
        <v>1</v>
      </c>
      <c r="B65" s="58" t="s">
        <v>52</v>
      </c>
      <c r="C65" s="70">
        <v>1000000</v>
      </c>
      <c r="D65" s="58">
        <v>993152</v>
      </c>
      <c r="E65" s="71">
        <f t="shared" si="0"/>
        <v>-6848</v>
      </c>
      <c r="F65"/>
    </row>
    <row r="66" spans="1:6" s="46" customFormat="1" ht="12.75">
      <c r="A66" s="4">
        <v>1</v>
      </c>
      <c r="B66" s="57" t="s">
        <v>53</v>
      </c>
      <c r="C66" s="68">
        <v>1000000</v>
      </c>
      <c r="D66" s="57">
        <v>997521</v>
      </c>
      <c r="E66" s="69">
        <f t="shared" si="0"/>
        <v>-2479</v>
      </c>
      <c r="F66"/>
    </row>
    <row r="67" spans="1:6" s="46" customFormat="1" ht="12.75">
      <c r="A67" s="4">
        <v>1</v>
      </c>
      <c r="B67" s="63" t="s">
        <v>49</v>
      </c>
      <c r="C67" s="80">
        <v>1000000</v>
      </c>
      <c r="D67" s="63">
        <v>0</v>
      </c>
      <c r="E67" s="81">
        <v>0</v>
      </c>
      <c r="F67"/>
    </row>
    <row r="68" spans="1:6" s="46" customFormat="1" ht="12.75">
      <c r="A68" s="4">
        <v>1</v>
      </c>
      <c r="B68" s="25"/>
      <c r="D68" s="54" t="s">
        <v>35</v>
      </c>
      <c r="E68" s="53" t="s">
        <v>35</v>
      </c>
      <c r="F68" s="26"/>
    </row>
    <row r="69" spans="1:6" s="46" customFormat="1" ht="12.75">
      <c r="A69" s="4">
        <v>2</v>
      </c>
      <c r="B69" s="25"/>
      <c r="D69" s="54"/>
      <c r="E69" s="53"/>
      <c r="F69" s="26"/>
    </row>
    <row r="70" spans="1:3" s="46" customFormat="1" ht="12.75">
      <c r="A70" s="91">
        <v>2</v>
      </c>
      <c r="B70" s="92" t="s">
        <v>115</v>
      </c>
      <c r="C70" s="93"/>
    </row>
    <row r="71" spans="1:2" s="46" customFormat="1" ht="12.75">
      <c r="A71" s="4">
        <v>2</v>
      </c>
      <c r="B71" s="52" t="s">
        <v>69</v>
      </c>
    </row>
    <row r="72" spans="1:2" s="46" customFormat="1" ht="12.75">
      <c r="A72" s="4">
        <v>2</v>
      </c>
      <c r="B72" s="52" t="s">
        <v>70</v>
      </c>
    </row>
    <row r="73" spans="1:2" s="46" customFormat="1" ht="12.75">
      <c r="A73" s="4">
        <v>2</v>
      </c>
      <c r="B73" s="45"/>
    </row>
    <row r="74" spans="1:2" s="46" customFormat="1" ht="12.75">
      <c r="A74" s="4">
        <v>2</v>
      </c>
      <c r="B74" s="44" t="s">
        <v>71</v>
      </c>
    </row>
    <row r="75" spans="1:2" s="46" customFormat="1" ht="12.75">
      <c r="A75" s="4">
        <v>2</v>
      </c>
      <c r="B75" s="44" t="s">
        <v>72</v>
      </c>
    </row>
    <row r="76" spans="1:2" s="46" customFormat="1" ht="12.75">
      <c r="A76" s="4">
        <v>2</v>
      </c>
      <c r="B76" s="44" t="s">
        <v>73</v>
      </c>
    </row>
    <row r="77" spans="1:2" s="46" customFormat="1" ht="12.75">
      <c r="A77" s="4">
        <v>2</v>
      </c>
      <c r="B77" s="44" t="s">
        <v>75</v>
      </c>
    </row>
    <row r="78" spans="1:2" s="46" customFormat="1" ht="12.75">
      <c r="A78" s="4">
        <v>2</v>
      </c>
      <c r="B78" s="44" t="s">
        <v>77</v>
      </c>
    </row>
    <row r="79" spans="1:2" s="46" customFormat="1" ht="12.75">
      <c r="A79" s="4">
        <v>2</v>
      </c>
      <c r="B79" s="44" t="s">
        <v>74</v>
      </c>
    </row>
    <row r="80" spans="1:2" s="46" customFormat="1" ht="12.75">
      <c r="A80" s="4">
        <v>2</v>
      </c>
      <c r="B80" s="44" t="s">
        <v>18</v>
      </c>
    </row>
    <row r="81" spans="1:2" s="46" customFormat="1" ht="12.75">
      <c r="A81" s="4">
        <v>2</v>
      </c>
      <c r="B81" s="44" t="s">
        <v>76</v>
      </c>
    </row>
    <row r="82" spans="1:2" s="46" customFormat="1" ht="12.75">
      <c r="A82" s="4">
        <v>2</v>
      </c>
      <c r="B82" s="45"/>
    </row>
    <row r="83" spans="1:2" s="46" customFormat="1" ht="12.75">
      <c r="A83" s="4">
        <v>2</v>
      </c>
      <c r="B83" s="44" t="s">
        <v>78</v>
      </c>
    </row>
    <row r="84" spans="1:2" s="46" customFormat="1" ht="12.75">
      <c r="A84" s="4">
        <v>2</v>
      </c>
      <c r="B84" s="44" t="s">
        <v>79</v>
      </c>
    </row>
    <row r="85" spans="1:2" s="46" customFormat="1" ht="12.75">
      <c r="A85" s="4">
        <v>2</v>
      </c>
      <c r="B85" s="44" t="s">
        <v>19</v>
      </c>
    </row>
    <row r="86" spans="1:2" s="46" customFormat="1" ht="12.75">
      <c r="A86" s="4">
        <v>2</v>
      </c>
      <c r="B86" s="44" t="s">
        <v>80</v>
      </c>
    </row>
    <row r="87" spans="1:2" s="46" customFormat="1" ht="12.75">
      <c r="A87" s="4">
        <v>2</v>
      </c>
      <c r="B87" s="44" t="s">
        <v>81</v>
      </c>
    </row>
    <row r="88" spans="1:2" s="46" customFormat="1" ht="12.75">
      <c r="A88" s="4">
        <v>2</v>
      </c>
      <c r="B88" s="44" t="s">
        <v>82</v>
      </c>
    </row>
    <row r="89" spans="1:2" s="46" customFormat="1" ht="12.75">
      <c r="A89" s="4">
        <v>2</v>
      </c>
      <c r="B89" s="44" t="s">
        <v>83</v>
      </c>
    </row>
    <row r="90" spans="1:2" s="46" customFormat="1" ht="12.75">
      <c r="A90" s="4">
        <v>2</v>
      </c>
      <c r="B90" s="45"/>
    </row>
    <row r="91" spans="1:5" s="46" customFormat="1" ht="12.75">
      <c r="A91" s="4">
        <v>2</v>
      </c>
      <c r="B91" s="55"/>
      <c r="C91" s="49" t="s">
        <v>41</v>
      </c>
      <c r="D91" s="49" t="s">
        <v>42</v>
      </c>
      <c r="E91" s="49" t="s">
        <v>35</v>
      </c>
    </row>
    <row r="92" spans="1:5" s="46" customFormat="1" ht="12.75">
      <c r="A92" s="4">
        <v>2</v>
      </c>
      <c r="B92" s="56"/>
      <c r="C92" s="64" t="s">
        <v>20</v>
      </c>
      <c r="D92" s="64" t="s">
        <v>46</v>
      </c>
      <c r="E92" s="64" t="s">
        <v>43</v>
      </c>
    </row>
    <row r="93" spans="1:7" s="46" customFormat="1" ht="12.75">
      <c r="A93" s="4">
        <v>2</v>
      </c>
      <c r="B93" s="65" t="s">
        <v>27</v>
      </c>
      <c r="C93" s="17" t="s">
        <v>28</v>
      </c>
      <c r="D93" s="65" t="s">
        <v>29</v>
      </c>
      <c r="E93" s="65" t="s">
        <v>84</v>
      </c>
      <c r="F93"/>
      <c r="G93" s="46" t="s">
        <v>35</v>
      </c>
    </row>
    <row r="94" spans="1:6" s="46" customFormat="1" ht="12.75">
      <c r="A94" s="4">
        <v>2</v>
      </c>
      <c r="B94" s="57" t="s">
        <v>30</v>
      </c>
      <c r="C94" s="68">
        <v>1000000</v>
      </c>
      <c r="D94" s="57">
        <v>1000000</v>
      </c>
      <c r="E94" s="69">
        <f>C94-D94</f>
        <v>0</v>
      </c>
      <c r="F94"/>
    </row>
    <row r="95" spans="1:6" s="46" customFormat="1" ht="12.75">
      <c r="A95" s="4">
        <v>2</v>
      </c>
      <c r="B95" s="58" t="s">
        <v>31</v>
      </c>
      <c r="C95" s="70">
        <v>1000000</v>
      </c>
      <c r="D95" s="58">
        <v>998851</v>
      </c>
      <c r="E95" s="71">
        <v>0</v>
      </c>
      <c r="F95"/>
    </row>
    <row r="96" spans="1:6" s="46" customFormat="1" ht="12.75">
      <c r="A96" s="4">
        <v>2</v>
      </c>
      <c r="B96" s="59" t="s">
        <v>32</v>
      </c>
      <c r="C96" s="72">
        <v>1000000</v>
      </c>
      <c r="D96" s="59">
        <v>1000000</v>
      </c>
      <c r="E96" s="73">
        <v>175</v>
      </c>
      <c r="F96"/>
    </row>
    <row r="97" spans="1:6" s="46" customFormat="1" ht="12.75">
      <c r="A97" s="4">
        <v>2</v>
      </c>
      <c r="B97" s="60" t="s">
        <v>33</v>
      </c>
      <c r="C97" s="74">
        <v>1000000</v>
      </c>
      <c r="D97" s="60">
        <v>1001074</v>
      </c>
      <c r="E97" s="75">
        <v>0</v>
      </c>
      <c r="F97"/>
    </row>
    <row r="98" spans="1:6" s="46" customFormat="1" ht="12.75">
      <c r="A98" s="4">
        <v>2</v>
      </c>
      <c r="B98" s="61" t="s">
        <v>34</v>
      </c>
      <c r="C98" s="76">
        <v>1000000</v>
      </c>
      <c r="D98" s="61">
        <v>988645</v>
      </c>
      <c r="E98" s="77">
        <v>-225</v>
      </c>
      <c r="F98"/>
    </row>
    <row r="99" spans="1:6" s="46" customFormat="1" ht="12.75">
      <c r="A99" s="4">
        <v>2</v>
      </c>
      <c r="B99" s="62" t="s">
        <v>51</v>
      </c>
      <c r="C99" s="78">
        <v>1000000</v>
      </c>
      <c r="D99" s="62">
        <v>990615</v>
      </c>
      <c r="E99" s="79">
        <v>2975</v>
      </c>
      <c r="F99"/>
    </row>
    <row r="100" spans="1:6" s="46" customFormat="1" ht="12.75">
      <c r="A100" s="4">
        <v>2</v>
      </c>
      <c r="B100" s="58" t="s">
        <v>52</v>
      </c>
      <c r="C100" s="70">
        <v>1000000</v>
      </c>
      <c r="D100" s="58">
        <v>993152</v>
      </c>
      <c r="E100" s="71">
        <v>3250</v>
      </c>
      <c r="F100"/>
    </row>
    <row r="101" spans="1:6" s="46" customFormat="1" ht="12.75">
      <c r="A101" s="4">
        <v>2</v>
      </c>
      <c r="B101" s="57" t="s">
        <v>53</v>
      </c>
      <c r="C101" s="68">
        <v>1000000</v>
      </c>
      <c r="D101" s="57">
        <v>997521</v>
      </c>
      <c r="E101" s="69">
        <v>3525</v>
      </c>
      <c r="F101"/>
    </row>
    <row r="102" spans="1:6" s="46" customFormat="1" ht="12.75">
      <c r="A102" s="4">
        <v>2</v>
      </c>
      <c r="B102" s="63" t="s">
        <v>49</v>
      </c>
      <c r="C102" s="80">
        <v>1000000</v>
      </c>
      <c r="D102" s="63">
        <v>0</v>
      </c>
      <c r="E102" s="81">
        <v>2525</v>
      </c>
      <c r="F102"/>
    </row>
    <row r="103" spans="1:6" s="46" customFormat="1" ht="12.75">
      <c r="A103" s="4">
        <v>2</v>
      </c>
      <c r="B103" s="25"/>
      <c r="D103" s="66" t="s">
        <v>85</v>
      </c>
      <c r="E103" s="67">
        <f>SUM(E94:E102)</f>
        <v>12225</v>
      </c>
      <c r="F103" s="26"/>
    </row>
    <row r="104" ht="12.75">
      <c r="A104" s="4">
        <v>2</v>
      </c>
    </row>
    <row r="105" spans="1:3" ht="12.75">
      <c r="A105" s="91">
        <v>3</v>
      </c>
      <c r="B105" s="92" t="s">
        <v>115</v>
      </c>
      <c r="C105" s="28"/>
    </row>
    <row r="106" spans="1:2" ht="12.75">
      <c r="A106" s="4">
        <v>3</v>
      </c>
      <c r="B106" s="52" t="s">
        <v>87</v>
      </c>
    </row>
    <row r="107" spans="1:2" ht="12.75">
      <c r="A107" s="4">
        <v>3</v>
      </c>
      <c r="B107" s="52" t="s">
        <v>229</v>
      </c>
    </row>
    <row r="108" ht="12.75">
      <c r="A108" s="4">
        <v>3</v>
      </c>
    </row>
    <row r="109" spans="1:2" ht="12.75">
      <c r="A109" s="4">
        <v>3</v>
      </c>
      <c r="B109" s="44" t="s">
        <v>88</v>
      </c>
    </row>
    <row r="110" spans="1:2" ht="12.75">
      <c r="A110" s="4">
        <v>3</v>
      </c>
      <c r="B110" s="44" t="s">
        <v>89</v>
      </c>
    </row>
    <row r="111" spans="1:2" ht="12.75">
      <c r="A111" s="4">
        <v>3</v>
      </c>
      <c r="B111" s="44" t="s">
        <v>21</v>
      </c>
    </row>
    <row r="112" spans="1:2" ht="12.75">
      <c r="A112" s="4">
        <v>3</v>
      </c>
      <c r="B112" s="44" t="s">
        <v>90</v>
      </c>
    </row>
    <row r="113" spans="1:2" ht="12.75">
      <c r="A113" s="4">
        <v>3</v>
      </c>
      <c r="B113" s="44" t="s">
        <v>91</v>
      </c>
    </row>
    <row r="114" spans="1:2" ht="12.75">
      <c r="A114" s="4">
        <v>3</v>
      </c>
      <c r="B114" s="44"/>
    </row>
    <row r="115" spans="1:2" ht="12.75">
      <c r="A115" s="4">
        <v>3</v>
      </c>
      <c r="B115" s="44" t="s">
        <v>92</v>
      </c>
    </row>
    <row r="116" spans="1:2" ht="12.75">
      <c r="A116" s="4">
        <v>3</v>
      </c>
      <c r="B116"/>
    </row>
    <row r="117" spans="1:3" ht="12.75">
      <c r="A117" s="91">
        <v>4</v>
      </c>
      <c r="B117" s="92" t="s">
        <v>115</v>
      </c>
      <c r="C117" s="28"/>
    </row>
    <row r="118" spans="1:2" ht="12.75">
      <c r="A118" s="4">
        <v>4</v>
      </c>
      <c r="B118" s="52" t="s">
        <v>227</v>
      </c>
    </row>
    <row r="119" spans="1:2" ht="12.75">
      <c r="A119" s="4">
        <v>4</v>
      </c>
      <c r="B119" s="52" t="s">
        <v>228</v>
      </c>
    </row>
    <row r="120" ht="12.75">
      <c r="A120" s="4">
        <v>4</v>
      </c>
    </row>
    <row r="121" spans="1:2" ht="12.75">
      <c r="A121" s="4">
        <v>4</v>
      </c>
      <c r="B121" s="44" t="s">
        <v>13</v>
      </c>
    </row>
    <row r="122" spans="1:2" ht="12.75">
      <c r="A122" s="4">
        <v>4</v>
      </c>
      <c r="B122" s="44" t="s">
        <v>12</v>
      </c>
    </row>
    <row r="123" spans="1:2" ht="12.75">
      <c r="A123" s="4">
        <v>4</v>
      </c>
      <c r="B123" s="44" t="s">
        <v>224</v>
      </c>
    </row>
    <row r="124" spans="1:2" ht="12.75">
      <c r="A124" s="4">
        <v>4</v>
      </c>
      <c r="B124" s="44" t="s">
        <v>225</v>
      </c>
    </row>
    <row r="125" spans="1:2" ht="12.75">
      <c r="A125" s="4">
        <v>4</v>
      </c>
      <c r="B125" s="44" t="s">
        <v>226</v>
      </c>
    </row>
    <row r="126" spans="1:2" ht="12.75">
      <c r="A126" s="4">
        <v>4</v>
      </c>
      <c r="B126" s="44"/>
    </row>
    <row r="127" spans="1:2" ht="12.75">
      <c r="A127" s="4">
        <v>4</v>
      </c>
      <c r="B127" s="44" t="s">
        <v>107</v>
      </c>
    </row>
    <row r="128" spans="1:2" ht="12.75">
      <c r="A128" s="4">
        <v>4</v>
      </c>
      <c r="B128" s="44" t="s">
        <v>108</v>
      </c>
    </row>
    <row r="129" spans="1:2" ht="12.75">
      <c r="A129" s="4">
        <v>4</v>
      </c>
      <c r="B129" s="44" t="s">
        <v>109</v>
      </c>
    </row>
    <row r="130" spans="1:2" ht="12.75">
      <c r="A130" s="4">
        <v>4</v>
      </c>
      <c r="B130" s="44" t="s">
        <v>110</v>
      </c>
    </row>
    <row r="131" spans="1:2" ht="12.75">
      <c r="A131" s="4">
        <v>4</v>
      </c>
      <c r="B131" s="44"/>
    </row>
    <row r="132" spans="1:2" ht="12.75">
      <c r="A132" s="4">
        <v>4</v>
      </c>
      <c r="B132" s="44" t="s">
        <v>93</v>
      </c>
    </row>
    <row r="133" spans="1:2" ht="12.75">
      <c r="A133" s="4">
        <v>4</v>
      </c>
      <c r="B133" s="44" t="s">
        <v>94</v>
      </c>
    </row>
    <row r="134" spans="1:2" ht="12.75">
      <c r="A134" s="4">
        <v>4</v>
      </c>
      <c r="B134" s="44" t="s">
        <v>22</v>
      </c>
    </row>
    <row r="135" spans="1:2" ht="12.75">
      <c r="A135" s="4">
        <v>4</v>
      </c>
      <c r="B135" s="44" t="s">
        <v>95</v>
      </c>
    </row>
    <row r="136" spans="1:2" ht="12.75">
      <c r="A136" s="4">
        <v>4</v>
      </c>
      <c r="B136" s="44" t="s">
        <v>14</v>
      </c>
    </row>
    <row r="137" spans="1:2" ht="12.75">
      <c r="A137" s="4">
        <v>4</v>
      </c>
      <c r="B137" s="44" t="s">
        <v>16</v>
      </c>
    </row>
    <row r="138" spans="1:2" ht="12.75">
      <c r="A138" s="4">
        <v>4</v>
      </c>
      <c r="B138" s="44" t="s">
        <v>96</v>
      </c>
    </row>
    <row r="139" spans="1:2" ht="12.75">
      <c r="A139" s="4">
        <v>4</v>
      </c>
      <c r="B139" s="44" t="s">
        <v>97</v>
      </c>
    </row>
    <row r="140" spans="1:2" ht="12.75">
      <c r="A140" s="4">
        <v>4</v>
      </c>
      <c r="B140" s="44" t="s">
        <v>15</v>
      </c>
    </row>
    <row r="141" ht="12.75">
      <c r="A141" s="4">
        <v>4</v>
      </c>
    </row>
    <row r="142" spans="1:2" ht="12.75">
      <c r="A142" s="4">
        <v>4</v>
      </c>
      <c r="B142" s="44" t="s">
        <v>98</v>
      </c>
    </row>
    <row r="143" spans="1:2" ht="12.75">
      <c r="A143" s="4">
        <v>4</v>
      </c>
      <c r="B143" s="44" t="s">
        <v>99</v>
      </c>
    </row>
    <row r="144" spans="1:2" ht="12.75">
      <c r="A144" s="4">
        <v>4</v>
      </c>
      <c r="B144" s="44" t="s">
        <v>100</v>
      </c>
    </row>
    <row r="145" spans="1:2" ht="12.75">
      <c r="A145" s="4">
        <v>4</v>
      </c>
      <c r="B145" s="44" t="s">
        <v>101</v>
      </c>
    </row>
    <row r="146" ht="12.75">
      <c r="A146" s="4">
        <v>4</v>
      </c>
    </row>
    <row r="147" spans="1:2" ht="12.75">
      <c r="A147" s="4">
        <v>4</v>
      </c>
      <c r="B147" s="44" t="s">
        <v>102</v>
      </c>
    </row>
    <row r="148" spans="1:2" ht="12.75">
      <c r="A148" s="4">
        <v>4</v>
      </c>
      <c r="B148" s="44" t="s">
        <v>103</v>
      </c>
    </row>
    <row r="149" ht="12.75">
      <c r="A149" s="4">
        <v>4</v>
      </c>
    </row>
    <row r="150" ht="12.75">
      <c r="A150" s="4">
        <v>5</v>
      </c>
    </row>
    <row r="151" spans="1:3" ht="12.75">
      <c r="A151" s="91">
        <v>5</v>
      </c>
      <c r="B151" s="92" t="s">
        <v>115</v>
      </c>
      <c r="C151" s="28"/>
    </row>
    <row r="152" spans="1:2" ht="12.75">
      <c r="A152" s="4">
        <v>5</v>
      </c>
      <c r="B152" s="52" t="s">
        <v>23</v>
      </c>
    </row>
    <row r="153" spans="1:2" ht="12.75">
      <c r="A153" s="4">
        <v>5</v>
      </c>
      <c r="B153" s="52" t="s">
        <v>106</v>
      </c>
    </row>
    <row r="154" spans="1:2" ht="12.75">
      <c r="A154" s="4">
        <v>5</v>
      </c>
      <c r="B154" s="52"/>
    </row>
    <row r="155" spans="1:2" ht="12.75">
      <c r="A155" s="4">
        <v>5</v>
      </c>
      <c r="B155" s="44" t="s">
        <v>232</v>
      </c>
    </row>
    <row r="156" spans="1:2" ht="12.75">
      <c r="A156" s="4">
        <v>5</v>
      </c>
      <c r="B156" s="44" t="s">
        <v>233</v>
      </c>
    </row>
    <row r="157" spans="1:2" ht="12.75">
      <c r="A157" s="4">
        <v>5</v>
      </c>
      <c r="B157" s="44" t="s">
        <v>234</v>
      </c>
    </row>
    <row r="158" ht="12.75">
      <c r="A158" s="4">
        <v>5</v>
      </c>
    </row>
    <row r="159" spans="1:2" ht="12.75">
      <c r="A159" s="4">
        <v>5</v>
      </c>
      <c r="B159" s="44" t="s">
        <v>17</v>
      </c>
    </row>
    <row r="160" spans="1:3" ht="12.75">
      <c r="A160" s="4">
        <v>5</v>
      </c>
      <c r="B160" s="44" t="s">
        <v>104</v>
      </c>
      <c r="C160" s="3" t="s">
        <v>105</v>
      </c>
    </row>
    <row r="161" spans="1:2" ht="12.75">
      <c r="A161" s="4">
        <v>5</v>
      </c>
      <c r="B161" s="44" t="s">
        <v>230</v>
      </c>
    </row>
    <row r="162" spans="1:2" ht="12.75">
      <c r="A162" s="4">
        <v>5</v>
      </c>
      <c r="B162" s="44" t="s">
        <v>231</v>
      </c>
    </row>
    <row r="163" ht="12.75">
      <c r="A163" s="4">
        <v>5</v>
      </c>
    </row>
    <row r="164" spans="1:3" ht="12.75">
      <c r="A164" s="91">
        <v>6</v>
      </c>
      <c r="B164" s="29" t="s">
        <v>115</v>
      </c>
      <c r="C164" s="28"/>
    </row>
    <row r="165" spans="1:3" ht="12.75">
      <c r="A165" s="4">
        <v>6</v>
      </c>
      <c r="B165" s="123" t="s">
        <v>127</v>
      </c>
      <c r="C165" s="124"/>
    </row>
    <row r="166" spans="1:3" ht="12.75">
      <c r="A166" s="4">
        <v>6</v>
      </c>
      <c r="B166" s="123" t="s">
        <v>132</v>
      </c>
      <c r="C166" s="124"/>
    </row>
    <row r="167" spans="1:3" ht="12.75">
      <c r="A167" s="4">
        <v>6</v>
      </c>
      <c r="B167" s="123" t="s">
        <v>128</v>
      </c>
      <c r="C167" s="124"/>
    </row>
    <row r="168" spans="1:3" ht="12.75">
      <c r="A168" s="4">
        <v>6</v>
      </c>
      <c r="B168" s="123" t="s">
        <v>129</v>
      </c>
      <c r="C168" s="124"/>
    </row>
    <row r="169" spans="1:3" ht="12.75">
      <c r="A169" s="4">
        <v>6</v>
      </c>
      <c r="B169" s="123"/>
      <c r="C169" s="124"/>
    </row>
    <row r="170" spans="1:2" ht="12.75">
      <c r="A170" s="4">
        <v>6</v>
      </c>
      <c r="B170" s="3" t="s">
        <v>130</v>
      </c>
    </row>
    <row r="171" spans="1:2" ht="12.75">
      <c r="A171" s="4">
        <v>6</v>
      </c>
      <c r="B171" s="3" t="s">
        <v>131</v>
      </c>
    </row>
    <row r="172" spans="1:2" ht="12.75">
      <c r="A172" s="4">
        <v>6</v>
      </c>
      <c r="B172" s="3" t="s">
        <v>133</v>
      </c>
    </row>
    <row r="173" spans="1:2" ht="12.75">
      <c r="A173" s="4">
        <v>6</v>
      </c>
      <c r="B173" s="3"/>
    </row>
    <row r="174" spans="1:2" ht="12.75">
      <c r="A174" s="4">
        <v>6</v>
      </c>
      <c r="B174" s="3" t="s">
        <v>134</v>
      </c>
    </row>
    <row r="175" spans="1:2" ht="12.75">
      <c r="A175" s="4">
        <v>6</v>
      </c>
      <c r="B175" s="3"/>
    </row>
    <row r="176" spans="1:2" ht="12.75">
      <c r="A176" s="4">
        <v>7</v>
      </c>
      <c r="B176" s="3"/>
    </row>
    <row r="177" spans="1:3" ht="12.75">
      <c r="A177" s="91">
        <v>7</v>
      </c>
      <c r="B177" s="29" t="s">
        <v>115</v>
      </c>
      <c r="C177" s="28"/>
    </row>
    <row r="178" spans="1:2" ht="12.75">
      <c r="A178" s="4">
        <v>7</v>
      </c>
      <c r="B178" s="127" t="s">
        <v>141</v>
      </c>
    </row>
    <row r="179" spans="1:2" ht="12.75">
      <c r="A179" s="4">
        <v>7</v>
      </c>
      <c r="B179" s="127" t="s">
        <v>152</v>
      </c>
    </row>
    <row r="180" spans="1:2" ht="12.75">
      <c r="A180" s="4">
        <v>7</v>
      </c>
      <c r="B180" s="128" t="s">
        <v>153</v>
      </c>
    </row>
    <row r="181" spans="1:2" ht="12.75">
      <c r="A181" s="4">
        <v>7</v>
      </c>
      <c r="B181" s="44" t="s">
        <v>35</v>
      </c>
    </row>
    <row r="182" spans="1:2" ht="12.75">
      <c r="A182" s="4">
        <v>7</v>
      </c>
      <c r="B182" s="44" t="s">
        <v>142</v>
      </c>
    </row>
    <row r="183" spans="1:2" ht="12.75">
      <c r="A183" s="4">
        <v>7</v>
      </c>
      <c r="B183" s="44"/>
    </row>
    <row r="184" spans="1:2" ht="12.75">
      <c r="A184" s="4">
        <v>7</v>
      </c>
      <c r="B184" s="44" t="s">
        <v>143</v>
      </c>
    </row>
    <row r="185" spans="1:2" ht="12.75">
      <c r="A185" s="4">
        <v>7</v>
      </c>
      <c r="B185" s="44" t="s">
        <v>144</v>
      </c>
    </row>
    <row r="186" spans="1:2" ht="12.75">
      <c r="A186" s="4">
        <v>7</v>
      </c>
      <c r="B186" s="44" t="s">
        <v>145</v>
      </c>
    </row>
    <row r="187" spans="1:2" ht="12.75">
      <c r="A187" s="4">
        <v>7</v>
      </c>
      <c r="B187" s="44" t="s">
        <v>146</v>
      </c>
    </row>
    <row r="188" spans="1:2" ht="12.75">
      <c r="A188" s="4">
        <v>7</v>
      </c>
      <c r="B188" s="44"/>
    </row>
    <row r="189" spans="1:2" ht="12.75">
      <c r="A189" s="4">
        <v>7</v>
      </c>
      <c r="B189" s="3" t="s">
        <v>147</v>
      </c>
    </row>
    <row r="190" spans="1:2" ht="12.75">
      <c r="A190" s="4">
        <v>7</v>
      </c>
      <c r="B190" s="44" t="s">
        <v>148</v>
      </c>
    </row>
    <row r="191" spans="1:2" ht="12.75">
      <c r="A191" s="4">
        <v>7</v>
      </c>
      <c r="B191"/>
    </row>
    <row r="192" spans="1:2" ht="12.75">
      <c r="A192" s="4">
        <v>8</v>
      </c>
      <c r="B192" s="1"/>
    </row>
    <row r="193" spans="1:3" ht="12.75">
      <c r="A193" s="91">
        <v>8</v>
      </c>
      <c r="B193" s="129" t="s">
        <v>115</v>
      </c>
      <c r="C193" s="28"/>
    </row>
    <row r="194" spans="1:2" ht="12.75">
      <c r="A194" s="4">
        <v>8</v>
      </c>
      <c r="B194" s="1" t="s">
        <v>161</v>
      </c>
    </row>
    <row r="195" spans="1:2" ht="12.75">
      <c r="A195" s="4">
        <v>8</v>
      </c>
      <c r="B195" s="1" t="s">
        <v>162</v>
      </c>
    </row>
    <row r="196" spans="1:2" ht="12.75">
      <c r="A196" s="4">
        <v>8</v>
      </c>
      <c r="B196" s="1" t="s">
        <v>163</v>
      </c>
    </row>
    <row r="197" spans="1:2" ht="12.75">
      <c r="A197" s="4">
        <v>8</v>
      </c>
      <c r="B197" s="1"/>
    </row>
    <row r="198" spans="1:2" ht="12.75">
      <c r="A198" s="4">
        <v>8</v>
      </c>
      <c r="B198" s="3" t="s">
        <v>164</v>
      </c>
    </row>
    <row r="199" spans="1:2" ht="12.75">
      <c r="A199" s="4">
        <v>8</v>
      </c>
      <c r="B199" s="3" t="s">
        <v>165</v>
      </c>
    </row>
    <row r="200" spans="1:2" ht="12.75">
      <c r="A200" s="4">
        <v>8</v>
      </c>
      <c r="B200" s="3" t="s">
        <v>166</v>
      </c>
    </row>
    <row r="201" spans="1:2" ht="12.75">
      <c r="A201" s="4">
        <v>9</v>
      </c>
      <c r="B201" s="3"/>
    </row>
    <row r="202" spans="1:3" ht="12.75">
      <c r="A202" s="91">
        <v>9</v>
      </c>
      <c r="B202" s="129" t="s">
        <v>115</v>
      </c>
      <c r="C202" s="28"/>
    </row>
    <row r="203" spans="1:2" ht="12.75">
      <c r="A203" s="4">
        <v>9</v>
      </c>
      <c r="B203" s="1" t="s">
        <v>167</v>
      </c>
    </row>
    <row r="204" spans="1:2" ht="12.75">
      <c r="A204" s="4">
        <v>9</v>
      </c>
      <c r="B204" s="1" t="s">
        <v>168</v>
      </c>
    </row>
    <row r="205" spans="1:2" ht="12.75">
      <c r="A205" s="4">
        <v>9</v>
      </c>
      <c r="B205" s="1" t="s">
        <v>169</v>
      </c>
    </row>
    <row r="206" spans="1:2" ht="12.75">
      <c r="A206" s="4">
        <v>9</v>
      </c>
      <c r="B206" s="3"/>
    </row>
    <row r="207" spans="1:2" ht="12.75">
      <c r="A207" s="4">
        <v>9</v>
      </c>
      <c r="B207" s="3" t="s">
        <v>170</v>
      </c>
    </row>
    <row r="208" spans="1:2" ht="12.75">
      <c r="A208" s="4">
        <v>9</v>
      </c>
      <c r="B208" s="3" t="s">
        <v>173</v>
      </c>
    </row>
    <row r="209" spans="1:2" ht="12.75">
      <c r="A209" s="4">
        <v>9</v>
      </c>
      <c r="B209" s="3" t="s">
        <v>171</v>
      </c>
    </row>
    <row r="210" spans="1:2" ht="12.75">
      <c r="A210" s="4">
        <v>9</v>
      </c>
      <c r="B210" s="3" t="s">
        <v>172</v>
      </c>
    </row>
    <row r="211" spans="1:2" ht="12.75">
      <c r="A211" s="4">
        <v>9</v>
      </c>
      <c r="B211" s="3" t="s">
        <v>174</v>
      </c>
    </row>
    <row r="212" spans="1:2" ht="12.75">
      <c r="A212" s="4">
        <v>9</v>
      </c>
      <c r="B212" s="3" t="s">
        <v>175</v>
      </c>
    </row>
    <row r="213" spans="1:2" ht="12.75">
      <c r="A213" s="4">
        <v>9</v>
      </c>
      <c r="B213" s="3"/>
    </row>
    <row r="214" spans="1:2" ht="12.75">
      <c r="A214" s="4">
        <v>9</v>
      </c>
      <c r="B214" s="3" t="s">
        <v>220</v>
      </c>
    </row>
    <row r="215" spans="1:2" ht="12.75">
      <c r="A215" s="4">
        <v>9</v>
      </c>
      <c r="B215" s="3" t="s">
        <v>221</v>
      </c>
    </row>
    <row r="216" spans="1:2" ht="12.75">
      <c r="A216" s="4">
        <v>9</v>
      </c>
      <c r="B216" s="3" t="s">
        <v>222</v>
      </c>
    </row>
    <row r="217" spans="1:2" ht="12.75">
      <c r="A217" s="4">
        <v>9</v>
      </c>
      <c r="B217" s="3" t="s">
        <v>223</v>
      </c>
    </row>
    <row r="218" spans="1:2" ht="12.75">
      <c r="A218" s="4">
        <v>9</v>
      </c>
      <c r="B218" s="1"/>
    </row>
    <row r="219" spans="1:3" ht="12.75">
      <c r="A219" s="91">
        <v>10</v>
      </c>
      <c r="B219" s="129" t="s">
        <v>115</v>
      </c>
      <c r="C219" s="28"/>
    </row>
    <row r="220" spans="1:2" ht="12.75">
      <c r="A220" s="4">
        <v>10</v>
      </c>
      <c r="B220" s="1" t="s">
        <v>149</v>
      </c>
    </row>
    <row r="221" spans="1:2" ht="12.75">
      <c r="A221" s="4">
        <v>10</v>
      </c>
      <c r="B221" s="1"/>
    </row>
    <row r="222" spans="2:14" ht="12.75">
      <c r="B222" s="43"/>
      <c r="H222" s="1"/>
      <c r="I222" s="1"/>
      <c r="J222" s="40"/>
      <c r="L222" s="1"/>
      <c r="M222" s="1"/>
      <c r="N222" s="40"/>
    </row>
    <row r="223" spans="1:14" ht="12.75">
      <c r="A223" s="4"/>
      <c r="B223" s="24"/>
      <c r="C223" s="24"/>
      <c r="D223" s="24"/>
      <c r="E223" s="24"/>
      <c r="H223" s="1"/>
      <c r="I223" s="1"/>
      <c r="J223" s="40"/>
      <c r="L223" s="1"/>
      <c r="M223" s="1"/>
      <c r="N223" s="40"/>
    </row>
    <row r="224" spans="1:14" ht="12.75">
      <c r="A224" s="4"/>
      <c r="B224" s="24"/>
      <c r="C224" s="24"/>
      <c r="D224" s="24"/>
      <c r="E224" s="24"/>
      <c r="H224" s="1"/>
      <c r="I224" s="1"/>
      <c r="J224" s="40"/>
      <c r="L224" s="1"/>
      <c r="M224" s="1"/>
      <c r="N224" s="40"/>
    </row>
    <row r="225" spans="1:14" ht="12.75">
      <c r="A225" s="4"/>
      <c r="B225" s="24"/>
      <c r="C225" s="24"/>
      <c r="D225" s="24"/>
      <c r="E225" s="24"/>
      <c r="H225" s="1"/>
      <c r="I225" s="1"/>
      <c r="J225" s="40"/>
      <c r="L225" s="1"/>
      <c r="M225" s="1"/>
      <c r="N225" s="40"/>
    </row>
    <row r="226" spans="1:14" ht="12.75">
      <c r="A226" s="4"/>
      <c r="B226" s="24"/>
      <c r="C226" s="24"/>
      <c r="D226" s="24"/>
      <c r="E226" s="24"/>
      <c r="H226" s="1"/>
      <c r="I226" s="1"/>
      <c r="J226" s="40"/>
      <c r="L226" s="1"/>
      <c r="M226" s="1"/>
      <c r="N226" s="40"/>
    </row>
    <row r="227" spans="1:14" ht="12.75">
      <c r="A227" s="4"/>
      <c r="B227" s="24"/>
      <c r="C227" s="24"/>
      <c r="D227" s="24"/>
      <c r="E227" s="24"/>
      <c r="H227" s="1"/>
      <c r="I227" s="1"/>
      <c r="J227" s="40"/>
      <c r="L227" s="1"/>
      <c r="M227" s="1"/>
      <c r="N227" s="40"/>
    </row>
    <row r="228" spans="1:14" ht="12.75">
      <c r="A228" s="4"/>
      <c r="B228" s="24"/>
      <c r="C228" s="24"/>
      <c r="D228" s="24"/>
      <c r="E228" s="24"/>
      <c r="H228" s="1"/>
      <c r="I228" s="1"/>
      <c r="J228" s="40"/>
      <c r="L228" s="1"/>
      <c r="M228" s="1"/>
      <c r="N228" s="40"/>
    </row>
    <row r="229" spans="1:14" ht="12.75">
      <c r="A229" s="4"/>
      <c r="B229" s="24"/>
      <c r="C229" s="24"/>
      <c r="D229" s="24"/>
      <c r="E229" s="24"/>
      <c r="H229" s="1"/>
      <c r="I229" s="1"/>
      <c r="J229" s="40"/>
      <c r="L229" s="1"/>
      <c r="M229" s="1"/>
      <c r="N229" s="40"/>
    </row>
    <row r="230" spans="1:14" ht="12.75">
      <c r="A230" s="4"/>
      <c r="B230" s="24"/>
      <c r="C230" s="24"/>
      <c r="D230" s="24"/>
      <c r="E230" s="24"/>
      <c r="H230" s="1"/>
      <c r="I230" s="1"/>
      <c r="J230" s="40"/>
      <c r="L230" s="1"/>
      <c r="M230" s="1"/>
      <c r="N230" s="40"/>
    </row>
    <row r="231" spans="2:14" ht="12.75">
      <c r="B231"/>
      <c r="H231" s="1"/>
      <c r="I231" s="1"/>
      <c r="J231" s="40"/>
      <c r="L231" s="1"/>
      <c r="M231" s="1"/>
      <c r="N231" s="40"/>
    </row>
    <row r="232" spans="2:8" ht="12.75">
      <c r="B232"/>
      <c r="H232" s="1"/>
    </row>
    <row r="233" spans="1:2" ht="12.75">
      <c r="A233"/>
      <c r="B233"/>
    </row>
  </sheetData>
  <hyperlinks>
    <hyperlink ref="D25" r:id="rId1" display="http://www.trinity.edu/rjensen/acct5341/speakers/133glosf.htm"/>
  </hyperlink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L475"/>
  <sheetViews>
    <sheetView workbookViewId="0" topLeftCell="A1">
      <selection activeCell="A1" sqref="A1"/>
    </sheetView>
  </sheetViews>
  <sheetFormatPr defaultColWidth="9.140625" defaultRowHeight="12.75"/>
  <cols>
    <col min="1" max="1" width="20.7109375" style="0" customWidth="1"/>
    <col min="2" max="2" width="10.7109375" style="0" customWidth="1"/>
    <col min="3" max="3" width="13.7109375" style="0" customWidth="1"/>
    <col min="4" max="4" width="13.421875" style="0" customWidth="1"/>
    <col min="5" max="5" width="12.28125" style="0" customWidth="1"/>
    <col min="6" max="6" width="13.140625" style="0" customWidth="1"/>
    <col min="7" max="7" width="11.28125" style="0" bestFit="1" customWidth="1"/>
    <col min="8" max="8" width="12.28125" style="0" customWidth="1"/>
    <col min="9" max="9" width="13.7109375" style="0" customWidth="1"/>
    <col min="10" max="10" width="13.421875" style="0" customWidth="1"/>
    <col min="11" max="11" width="12.8515625" style="0" customWidth="1"/>
    <col min="12" max="12" width="15.00390625" style="0" customWidth="1"/>
  </cols>
  <sheetData>
    <row r="1" spans="1:2" ht="12.75">
      <c r="A1" s="125" t="s">
        <v>135</v>
      </c>
      <c r="B1" s="41"/>
    </row>
    <row r="2" spans="1:2" ht="18">
      <c r="A2" s="235" t="s">
        <v>311</v>
      </c>
      <c r="B2" s="41"/>
    </row>
    <row r="3" spans="1:2" ht="12.75">
      <c r="A3" s="1" t="s">
        <v>116</v>
      </c>
      <c r="B3" s="41"/>
    </row>
    <row r="4" spans="1:2" ht="12.75">
      <c r="A4" s="41"/>
      <c r="B4" s="42" t="s">
        <v>25</v>
      </c>
    </row>
    <row r="18" spans="1:10" ht="12.75">
      <c r="A18" s="90" t="s">
        <v>114</v>
      </c>
      <c r="H18" s="1"/>
      <c r="I18" s="1"/>
      <c r="J18" s="2"/>
    </row>
    <row r="19" spans="1:10" ht="12.75">
      <c r="A19" s="95"/>
      <c r="B19" s="96" t="s">
        <v>35</v>
      </c>
      <c r="C19" s="96" t="s">
        <v>120</v>
      </c>
      <c r="H19" s="1"/>
      <c r="I19" s="1"/>
      <c r="J19" s="2"/>
    </row>
    <row r="20" spans="1:10" ht="12.75">
      <c r="A20" s="15"/>
      <c r="B20" s="34" t="s">
        <v>45</v>
      </c>
      <c r="C20" s="34" t="s">
        <v>121</v>
      </c>
      <c r="H20" s="1"/>
      <c r="I20" s="1"/>
      <c r="J20" s="2"/>
    </row>
    <row r="21" spans="1:10" ht="12.75">
      <c r="A21" s="88"/>
      <c r="B21" s="34" t="s">
        <v>119</v>
      </c>
      <c r="C21" s="34" t="s">
        <v>122</v>
      </c>
      <c r="E21" s="87"/>
      <c r="F21" s="49" t="s">
        <v>35</v>
      </c>
      <c r="G21" s="49" t="s">
        <v>41</v>
      </c>
      <c r="H21" s="49" t="s">
        <v>42</v>
      </c>
      <c r="I21" s="1"/>
      <c r="J21" s="2"/>
    </row>
    <row r="22" spans="1:10" ht="12.75">
      <c r="A22" s="88"/>
      <c r="B22" s="34" t="s">
        <v>120</v>
      </c>
      <c r="C22" s="34" t="s">
        <v>46</v>
      </c>
      <c r="E22" s="88"/>
      <c r="F22" s="64" t="s">
        <v>45</v>
      </c>
      <c r="G22" s="64" t="s">
        <v>112</v>
      </c>
      <c r="H22" s="64" t="s">
        <v>46</v>
      </c>
      <c r="I22" s="1"/>
      <c r="J22" s="2"/>
    </row>
    <row r="23" spans="1:10" ht="12.75">
      <c r="A23" s="65" t="s">
        <v>27</v>
      </c>
      <c r="B23" s="65" t="s">
        <v>47</v>
      </c>
      <c r="C23" s="65" t="s">
        <v>123</v>
      </c>
      <c r="E23" s="65" t="s">
        <v>27</v>
      </c>
      <c r="F23" s="65" t="s">
        <v>47</v>
      </c>
      <c r="G23" s="65" t="s">
        <v>28</v>
      </c>
      <c r="H23" s="65" t="s">
        <v>29</v>
      </c>
      <c r="I23" s="1"/>
      <c r="J23" s="2"/>
    </row>
    <row r="24" spans="1:10" ht="12.75">
      <c r="A24" s="5">
        <v>0</v>
      </c>
      <c r="B24" s="100">
        <v>0.0641</v>
      </c>
      <c r="C24" s="108">
        <v>1</v>
      </c>
      <c r="E24" s="86" t="s">
        <v>30</v>
      </c>
      <c r="F24" s="97">
        <f>B24/4</f>
        <v>0.016025</v>
      </c>
      <c r="G24" s="89">
        <v>1000000</v>
      </c>
      <c r="H24" s="86">
        <f>G24*C24</f>
        <v>1000000</v>
      </c>
      <c r="I24" s="1"/>
      <c r="J24" s="2"/>
    </row>
    <row r="25" spans="1:10" ht="12.75">
      <c r="A25" s="6">
        <v>1</v>
      </c>
      <c r="B25" s="102">
        <v>0.0641</v>
      </c>
      <c r="C25" s="109">
        <v>0.998851</v>
      </c>
      <c r="E25" s="58" t="s">
        <v>31</v>
      </c>
      <c r="F25" s="116">
        <f aca="true" t="shared" si="0" ref="F25:F32">B25/4</f>
        <v>0.016025</v>
      </c>
      <c r="G25" s="70">
        <v>1000000</v>
      </c>
      <c r="H25" s="58">
        <f aca="true" t="shared" si="1" ref="H25:H32">G25*C25</f>
        <v>998851</v>
      </c>
      <c r="I25" s="1"/>
      <c r="J25" s="2"/>
    </row>
    <row r="26" spans="1:10" ht="12.75">
      <c r="A26" s="7">
        <v>2</v>
      </c>
      <c r="B26" s="103">
        <v>0.0648</v>
      </c>
      <c r="C26" s="110">
        <v>1</v>
      </c>
      <c r="E26" s="59" t="s">
        <v>32</v>
      </c>
      <c r="F26" s="117">
        <f t="shared" si="0"/>
        <v>0.0162</v>
      </c>
      <c r="G26" s="72">
        <v>1000000</v>
      </c>
      <c r="H26" s="59">
        <f t="shared" si="1"/>
        <v>1000000</v>
      </c>
      <c r="I26" s="1"/>
      <c r="J26" s="2"/>
    </row>
    <row r="27" spans="1:10" ht="12.75">
      <c r="A27" s="8">
        <v>3</v>
      </c>
      <c r="B27" s="104">
        <v>0.0641</v>
      </c>
      <c r="C27" s="111">
        <v>1.001074</v>
      </c>
      <c r="E27" s="60" t="s">
        <v>154</v>
      </c>
      <c r="F27" s="118">
        <f t="shared" si="0"/>
        <v>0.016025</v>
      </c>
      <c r="G27" s="74">
        <v>1000000</v>
      </c>
      <c r="H27" s="60">
        <f t="shared" si="1"/>
        <v>1001074</v>
      </c>
      <c r="I27" s="9"/>
      <c r="J27" s="10"/>
    </row>
    <row r="28" spans="1:10" ht="12.75">
      <c r="A28" s="11">
        <v>4</v>
      </c>
      <c r="B28" s="105">
        <v>0.0632</v>
      </c>
      <c r="C28" s="112">
        <v>0.988645</v>
      </c>
      <c r="E28" s="61" t="s">
        <v>34</v>
      </c>
      <c r="F28" s="119">
        <f t="shared" si="0"/>
        <v>0.0158</v>
      </c>
      <c r="G28" s="76">
        <v>1000000</v>
      </c>
      <c r="H28" s="61">
        <f t="shared" si="1"/>
        <v>988645</v>
      </c>
      <c r="I28" s="9"/>
      <c r="J28" s="10"/>
    </row>
    <row r="29" spans="1:10" ht="12.75">
      <c r="A29" s="82">
        <v>5</v>
      </c>
      <c r="B29" s="106">
        <v>0.076</v>
      </c>
      <c r="C29" s="113">
        <v>0.990615</v>
      </c>
      <c r="E29" s="62" t="s">
        <v>51</v>
      </c>
      <c r="F29" s="120">
        <f t="shared" si="0"/>
        <v>0.019</v>
      </c>
      <c r="G29" s="78">
        <v>1000000</v>
      </c>
      <c r="H29" s="62">
        <f t="shared" si="1"/>
        <v>990615</v>
      </c>
      <c r="I29" s="9"/>
      <c r="J29" s="10"/>
    </row>
    <row r="30" spans="1:10" ht="12.75">
      <c r="A30" s="83">
        <v>6</v>
      </c>
      <c r="B30" s="102">
        <v>0.0771</v>
      </c>
      <c r="C30" s="109">
        <v>0.993152</v>
      </c>
      <c r="E30" s="58" t="s">
        <v>52</v>
      </c>
      <c r="F30" s="116">
        <f t="shared" si="0"/>
        <v>0.019275</v>
      </c>
      <c r="G30" s="70">
        <v>1000000</v>
      </c>
      <c r="H30" s="58">
        <f t="shared" si="1"/>
        <v>993152</v>
      </c>
      <c r="I30" s="9"/>
      <c r="J30" s="10"/>
    </row>
    <row r="31" spans="1:10" ht="12.75">
      <c r="A31" s="84">
        <v>7</v>
      </c>
      <c r="B31" s="101">
        <v>0.0782</v>
      </c>
      <c r="C31" s="114">
        <v>0.997521</v>
      </c>
      <c r="E31" s="57" t="s">
        <v>53</v>
      </c>
      <c r="F31" s="121">
        <f t="shared" si="0"/>
        <v>0.01955</v>
      </c>
      <c r="G31" s="68">
        <v>1000000</v>
      </c>
      <c r="H31" s="57">
        <f t="shared" si="1"/>
        <v>997521</v>
      </c>
      <c r="I31" s="9"/>
      <c r="J31" s="10"/>
    </row>
    <row r="32" spans="1:10" ht="12.75">
      <c r="A32" s="85">
        <v>8</v>
      </c>
      <c r="B32" s="107">
        <v>0.0742</v>
      </c>
      <c r="C32" s="115">
        <v>0</v>
      </c>
      <c r="E32" s="63" t="s">
        <v>49</v>
      </c>
      <c r="F32" s="122">
        <f t="shared" si="0"/>
        <v>0.01855</v>
      </c>
      <c r="G32" s="80">
        <v>1000000</v>
      </c>
      <c r="H32" s="63">
        <f t="shared" si="1"/>
        <v>0</v>
      </c>
      <c r="I32" s="12"/>
      <c r="J32" s="10"/>
    </row>
    <row r="34" ht="18">
      <c r="A34" s="176" t="s">
        <v>312</v>
      </c>
    </row>
    <row r="35" spans="1:5" ht="13.5" customHeight="1">
      <c r="A35" s="176"/>
      <c r="B35" s="197" t="s">
        <v>112</v>
      </c>
      <c r="C35" s="197" t="s">
        <v>236</v>
      </c>
      <c r="D35" s="197" t="s">
        <v>20</v>
      </c>
      <c r="E35" s="4" t="s">
        <v>112</v>
      </c>
    </row>
    <row r="36" spans="1:5" ht="12.75" customHeight="1">
      <c r="A36" s="176"/>
      <c r="B36" s="197" t="s">
        <v>45</v>
      </c>
      <c r="C36" s="197" t="s">
        <v>43</v>
      </c>
      <c r="D36" s="197" t="s">
        <v>315</v>
      </c>
      <c r="E36" s="4" t="s">
        <v>316</v>
      </c>
    </row>
    <row r="37" ht="12.75">
      <c r="A37" s="1" t="s">
        <v>313</v>
      </c>
    </row>
    <row r="38" spans="1:5" ht="12.75">
      <c r="A38" s="191">
        <f>A$196</f>
        <v>36708</v>
      </c>
      <c r="D38" s="238" t="s">
        <v>35</v>
      </c>
      <c r="E38" s="99">
        <f>-C$180</f>
        <v>1000000</v>
      </c>
    </row>
    <row r="39" ht="12.75">
      <c r="D39" s="238"/>
    </row>
    <row r="40" ht="12.75">
      <c r="A40" s="1" t="s">
        <v>314</v>
      </c>
    </row>
    <row r="41" spans="1:3" ht="12.75">
      <c r="A41" s="191">
        <f>A$197</f>
        <v>36799</v>
      </c>
      <c r="B41" s="98">
        <f>F$295</f>
        <v>-16025.000000000002</v>
      </c>
      <c r="C41" s="98">
        <f>F$299</f>
        <v>0</v>
      </c>
    </row>
    <row r="42" spans="1:3" ht="12.75">
      <c r="A42" s="191">
        <f>A$198</f>
        <v>36891</v>
      </c>
      <c r="B42" s="98">
        <f>F$315</f>
        <v>-16025.000000000002</v>
      </c>
      <c r="C42" s="98">
        <f>F$319</f>
        <v>-174.99999999999807</v>
      </c>
    </row>
    <row r="43" spans="1:3" ht="12.75">
      <c r="A43" s="191">
        <f>A$199</f>
        <v>36981</v>
      </c>
      <c r="B43" s="98">
        <f>F$335</f>
        <v>-16025.000000000002</v>
      </c>
      <c r="C43" s="98">
        <f>F$339</f>
        <v>0</v>
      </c>
    </row>
    <row r="44" spans="1:3" ht="12.75">
      <c r="A44" s="191">
        <f>A$200</f>
        <v>37072</v>
      </c>
      <c r="B44" s="98">
        <f>F$355</f>
        <v>-16025.000000000002</v>
      </c>
      <c r="C44" s="98">
        <f>F$359</f>
        <v>224.99999999999952</v>
      </c>
    </row>
    <row r="45" spans="1:3" ht="12.75">
      <c r="A45" s="191">
        <f>A$201</f>
        <v>37164</v>
      </c>
      <c r="B45" s="98">
        <f>F$375</f>
        <v>-16025.000000000002</v>
      </c>
      <c r="C45" s="98">
        <f>F$379</f>
        <v>-2974.9999999999986</v>
      </c>
    </row>
    <row r="46" spans="1:3" ht="12.75">
      <c r="A46" s="191">
        <f>A$202</f>
        <v>37256</v>
      </c>
      <c r="B46" s="98">
        <f>F$396</f>
        <v>-16025.000000000002</v>
      </c>
      <c r="C46" s="98">
        <f>F$400</f>
        <v>-3249.9999999999995</v>
      </c>
    </row>
    <row r="47" spans="1:3" ht="12.75">
      <c r="A47" s="191">
        <f>A$203</f>
        <v>37346</v>
      </c>
      <c r="B47" s="98">
        <f>F$416</f>
        <v>-16025.000000000002</v>
      </c>
      <c r="C47" s="98">
        <f>F$420</f>
        <v>-3525.0000000000005</v>
      </c>
    </row>
    <row r="48" spans="1:4" ht="13.5" thickBot="1">
      <c r="A48" s="191">
        <f>A$204</f>
        <v>37437</v>
      </c>
      <c r="B48" s="239">
        <f>F$436</f>
        <v>-16025.000000000002</v>
      </c>
      <c r="C48" s="239">
        <f>F$440</f>
        <v>-2524.9999999999995</v>
      </c>
      <c r="D48" s="239">
        <f>C$180</f>
        <v>-1000000</v>
      </c>
    </row>
    <row r="49" spans="1:5" ht="14.25" thickBot="1" thickTop="1">
      <c r="A49" s="191" t="s">
        <v>35</v>
      </c>
      <c r="B49" s="239">
        <f>SUM(B41:B48)</f>
        <v>-128200.00000000001</v>
      </c>
      <c r="C49" s="239">
        <f>SUM(C41:C48)</f>
        <v>-12224.999999999996</v>
      </c>
      <c r="D49" s="239">
        <f>SUM(D41:D48)</f>
        <v>-1000000</v>
      </c>
      <c r="E49" s="239">
        <f>SUM(B49:D49)</f>
        <v>-1140425</v>
      </c>
    </row>
    <row r="50" spans="3:5" ht="13.5" thickTop="1">
      <c r="C50" s="1" t="s">
        <v>317</v>
      </c>
      <c r="E50" s="240">
        <f>E38+E49</f>
        <v>-140425</v>
      </c>
    </row>
    <row r="52" ht="12.75">
      <c r="A52" t="s">
        <v>199</v>
      </c>
    </row>
    <row r="53" spans="1:4" ht="12.75">
      <c r="A53" t="s">
        <v>319</v>
      </c>
      <c r="D53" s="241" t="s">
        <v>318</v>
      </c>
    </row>
    <row r="140" ht="12.75">
      <c r="A140" t="s">
        <v>261</v>
      </c>
    </row>
    <row r="141" ht="12.75">
      <c r="A141" t="s">
        <v>262</v>
      </c>
    </row>
    <row r="142" ht="12.75">
      <c r="A142" t="s">
        <v>244</v>
      </c>
    </row>
    <row r="144" ht="12.75">
      <c r="A144" t="s">
        <v>256</v>
      </c>
    </row>
    <row r="145" ht="12.75">
      <c r="A145" t="s">
        <v>257</v>
      </c>
    </row>
    <row r="146" ht="12.75">
      <c r="A146" t="s">
        <v>258</v>
      </c>
    </row>
    <row r="148" ht="12.75">
      <c r="A148" t="s">
        <v>259</v>
      </c>
    </row>
    <row r="149" ht="12.75">
      <c r="A149" t="s">
        <v>260</v>
      </c>
    </row>
    <row r="150" ht="12.75">
      <c r="A150" t="s">
        <v>263</v>
      </c>
    </row>
    <row r="151" ht="12.75">
      <c r="A151" t="s">
        <v>264</v>
      </c>
    </row>
    <row r="152" ht="12.75">
      <c r="A152" t="s">
        <v>35</v>
      </c>
    </row>
    <row r="153" ht="12.75">
      <c r="A153" t="s">
        <v>298</v>
      </c>
    </row>
    <row r="154" ht="12.75">
      <c r="A154" t="s">
        <v>299</v>
      </c>
    </row>
    <row r="155" ht="12.75">
      <c r="A155" t="s">
        <v>300</v>
      </c>
    </row>
    <row r="157" spans="3:9" ht="12.75">
      <c r="C157" s="4" t="s">
        <v>301</v>
      </c>
      <c r="D157" s="4" t="s">
        <v>301</v>
      </c>
      <c r="E157" s="4" t="s">
        <v>301</v>
      </c>
      <c r="F157" s="4" t="s">
        <v>301</v>
      </c>
      <c r="G157" s="4" t="s">
        <v>301</v>
      </c>
      <c r="H157" s="4" t="s">
        <v>301</v>
      </c>
      <c r="I157" s="4" t="s">
        <v>301</v>
      </c>
    </row>
    <row r="158" spans="3:9" ht="12.75">
      <c r="C158" s="4" t="s">
        <v>290</v>
      </c>
      <c r="D158" s="4" t="s">
        <v>290</v>
      </c>
      <c r="E158" s="4" t="s">
        <v>290</v>
      </c>
      <c r="F158" s="4" t="s">
        <v>290</v>
      </c>
      <c r="G158" s="4" t="s">
        <v>290</v>
      </c>
      <c r="H158" s="4" t="s">
        <v>290</v>
      </c>
      <c r="I158" s="4" t="s">
        <v>290</v>
      </c>
    </row>
    <row r="159" spans="2:9" ht="12.75">
      <c r="B159" s="4" t="s">
        <v>200</v>
      </c>
      <c r="C159" s="4" t="s">
        <v>302</v>
      </c>
      <c r="D159" s="4" t="s">
        <v>302</v>
      </c>
      <c r="E159" s="4" t="s">
        <v>302</v>
      </c>
      <c r="F159" s="4" t="s">
        <v>302</v>
      </c>
      <c r="G159" s="4" t="s">
        <v>302</v>
      </c>
      <c r="H159" s="4" t="s">
        <v>302</v>
      </c>
      <c r="I159" s="4" t="s">
        <v>302</v>
      </c>
    </row>
    <row r="160" spans="2:8" ht="12.75">
      <c r="B160" s="256">
        <v>36708</v>
      </c>
      <c r="C160" s="24"/>
      <c r="D160" s="24"/>
      <c r="E160" s="24"/>
      <c r="F160" s="24"/>
      <c r="G160" s="24"/>
      <c r="H160" s="24"/>
    </row>
    <row r="161" spans="2:8" ht="12.75">
      <c r="B161" s="257">
        <v>36799</v>
      </c>
      <c r="C161" s="168">
        <f>B161</f>
        <v>36799</v>
      </c>
      <c r="D161" s="26"/>
      <c r="E161" s="26"/>
      <c r="F161" s="26"/>
      <c r="G161" s="26"/>
      <c r="H161" s="26"/>
    </row>
    <row r="162" spans="1:8" ht="12.75">
      <c r="A162" t="s">
        <v>35</v>
      </c>
      <c r="B162" s="258">
        <v>36891</v>
      </c>
      <c r="C162" s="255">
        <v>0.9842277503014198</v>
      </c>
      <c r="D162" s="168">
        <f>B162</f>
        <v>36891</v>
      </c>
      <c r="E162" s="26"/>
      <c r="F162" s="26"/>
      <c r="G162" s="26"/>
      <c r="H162" s="26"/>
    </row>
    <row r="163" spans="2:8" ht="12.75">
      <c r="B163" s="259">
        <v>36981</v>
      </c>
      <c r="C163" s="255">
        <v>0.9687042644633939</v>
      </c>
      <c r="D163" s="255">
        <v>0.98405825624877</v>
      </c>
      <c r="E163" s="168">
        <f>B163</f>
        <v>36981</v>
      </c>
      <c r="F163" s="26"/>
      <c r="G163" s="26"/>
      <c r="H163" s="26"/>
    </row>
    <row r="164" spans="2:8" ht="12.75">
      <c r="B164" s="260">
        <v>37072</v>
      </c>
      <c r="C164" s="255">
        <v>0.9534256189201977</v>
      </c>
      <c r="D164" s="255">
        <v>0.9683706516913698</v>
      </c>
      <c r="E164" s="255">
        <v>0.9842277503014198</v>
      </c>
      <c r="F164" s="168">
        <f>B164</f>
        <v>37072</v>
      </c>
      <c r="G164" s="26"/>
      <c r="H164" s="26"/>
    </row>
    <row r="165" spans="2:8" ht="12.75">
      <c r="B165" s="261">
        <v>37164</v>
      </c>
      <c r="C165" s="255">
        <v>0.9383879519895649</v>
      </c>
      <c r="D165" s="255">
        <v>0.9529331349058943</v>
      </c>
      <c r="E165" s="255">
        <v>0.9687042644633939</v>
      </c>
      <c r="F165" s="255">
        <v>0.9844457570387871</v>
      </c>
      <c r="G165" s="168">
        <f>B165</f>
        <v>37164</v>
      </c>
      <c r="H165" s="26"/>
    </row>
    <row r="166" spans="2:8" ht="12.75">
      <c r="B166" s="257">
        <v>37256</v>
      </c>
      <c r="C166" s="255">
        <v>0.9235874628966463</v>
      </c>
      <c r="D166" s="255">
        <v>0.9377417190571683</v>
      </c>
      <c r="E166" s="255">
        <v>0.9534256189201977</v>
      </c>
      <c r="F166" s="255">
        <v>0.9691334485516706</v>
      </c>
      <c r="G166" s="255">
        <v>0.9813542688910698</v>
      </c>
      <c r="H166" s="168">
        <f>B166</f>
        <v>37256</v>
      </c>
    </row>
    <row r="167" spans="2:9" ht="12.75">
      <c r="B167" s="262">
        <v>37346</v>
      </c>
      <c r="C167" s="255">
        <v>0.909020410813362</v>
      </c>
      <c r="D167" s="255">
        <v>0.922792480867121</v>
      </c>
      <c r="E167" s="255">
        <v>0.9383879519895649</v>
      </c>
      <c r="F167" s="255">
        <v>0.9540593114310598</v>
      </c>
      <c r="G167" s="255">
        <v>0.963056201070726</v>
      </c>
      <c r="H167" s="255">
        <v>0.9810894998896275</v>
      </c>
      <c r="I167" s="168">
        <f>B167</f>
        <v>37346</v>
      </c>
    </row>
    <row r="168" spans="2:9" ht="12.75">
      <c r="B168" s="263">
        <v>37437</v>
      </c>
      <c r="C168" s="255">
        <v>0.8946831139129077</v>
      </c>
      <c r="D168" s="255">
        <v>0.9080815596015754</v>
      </c>
      <c r="E168" s="255">
        <v>0.9235874628966463</v>
      </c>
      <c r="F168" s="255">
        <v>0.9392196411016537</v>
      </c>
      <c r="G168" s="255">
        <v>0.9450993141027734</v>
      </c>
      <c r="H168" s="255">
        <v>0.9625366067936794</v>
      </c>
      <c r="I168" s="255">
        <v>0.9808248737187976</v>
      </c>
    </row>
    <row r="169" spans="2:9" ht="12.75">
      <c r="B169" s="165"/>
      <c r="C169" s="207"/>
      <c r="D169" s="207"/>
      <c r="E169" s="207"/>
      <c r="F169" s="207"/>
      <c r="G169" s="207"/>
      <c r="H169" s="207"/>
      <c r="I169" s="207"/>
    </row>
    <row r="170" spans="2:9" ht="12.75">
      <c r="B170" s="165"/>
      <c r="C170" s="207"/>
      <c r="D170" s="207"/>
      <c r="E170" s="207"/>
      <c r="F170" s="207"/>
      <c r="G170" s="207"/>
      <c r="H170" s="207"/>
      <c r="I170" s="207"/>
    </row>
    <row r="171" spans="2:8" ht="12.75">
      <c r="B171" s="165"/>
      <c r="C171" s="198"/>
      <c r="D171" s="24"/>
      <c r="E171" s="24"/>
      <c r="F171" s="24"/>
      <c r="G171" s="24"/>
      <c r="H171" s="24"/>
    </row>
    <row r="172" spans="2:3" ht="12.75">
      <c r="B172" s="165"/>
      <c r="C172" s="198"/>
    </row>
    <row r="173" ht="18">
      <c r="A173" s="176" t="s">
        <v>323</v>
      </c>
    </row>
    <row r="174" spans="1:9" ht="12.75">
      <c r="A174" s="213" t="s">
        <v>324</v>
      </c>
      <c r="B174" s="165"/>
      <c r="C174" s="207"/>
      <c r="D174" s="207"/>
      <c r="E174" s="207"/>
      <c r="F174" s="207"/>
      <c r="G174" s="207"/>
      <c r="H174" s="207"/>
      <c r="I174" s="207"/>
    </row>
    <row r="175" spans="1:9" ht="12.75">
      <c r="A175" s="213" t="s">
        <v>325</v>
      </c>
      <c r="B175" s="165"/>
      <c r="C175" s="207"/>
      <c r="D175" s="207"/>
      <c r="E175" s="207"/>
      <c r="F175" s="207"/>
      <c r="G175" s="207"/>
      <c r="H175" s="207"/>
      <c r="I175" s="207"/>
    </row>
    <row r="176" spans="1:9" ht="12.75">
      <c r="A176" s="213" t="s">
        <v>326</v>
      </c>
      <c r="B176" s="165"/>
      <c r="C176" s="207"/>
      <c r="D176" s="207"/>
      <c r="E176" s="207"/>
      <c r="F176" s="207"/>
      <c r="G176" s="207"/>
      <c r="H176" s="207"/>
      <c r="I176" s="207"/>
    </row>
    <row r="177" spans="3:9" ht="12.75">
      <c r="C177" s="4" t="s">
        <v>214</v>
      </c>
      <c r="D177" s="4" t="s">
        <v>303</v>
      </c>
      <c r="E177" s="4" t="s">
        <v>303</v>
      </c>
      <c r="F177" s="4" t="s">
        <v>303</v>
      </c>
      <c r="G177" s="4" t="s">
        <v>303</v>
      </c>
      <c r="H177" s="4" t="s">
        <v>303</v>
      </c>
      <c r="I177" s="4" t="s">
        <v>303</v>
      </c>
    </row>
    <row r="178" spans="2:9" ht="12.75">
      <c r="B178" s="4" t="s">
        <v>202</v>
      </c>
      <c r="C178" s="4" t="s">
        <v>112</v>
      </c>
      <c r="D178" s="4" t="s">
        <v>290</v>
      </c>
      <c r="E178" s="4" t="s">
        <v>290</v>
      </c>
      <c r="F178" s="4" t="s">
        <v>290</v>
      </c>
      <c r="G178" s="4" t="s">
        <v>290</v>
      </c>
      <c r="H178" s="4" t="s">
        <v>290</v>
      </c>
      <c r="I178" s="4" t="s">
        <v>290</v>
      </c>
    </row>
    <row r="179" spans="1:9" ht="12.75">
      <c r="A179" s="4" t="s">
        <v>200</v>
      </c>
      <c r="B179" s="4" t="s">
        <v>204</v>
      </c>
      <c r="C179" s="4" t="s">
        <v>215</v>
      </c>
      <c r="D179" s="4" t="s">
        <v>304</v>
      </c>
      <c r="E179" s="4" t="s">
        <v>304</v>
      </c>
      <c r="F179" s="4" t="s">
        <v>304</v>
      </c>
      <c r="G179" s="4" t="s">
        <v>304</v>
      </c>
      <c r="H179" s="4" t="s">
        <v>304</v>
      </c>
      <c r="I179" s="4" t="s">
        <v>304</v>
      </c>
    </row>
    <row r="180" spans="1:3" ht="12.75">
      <c r="A180" s="86">
        <v>36708</v>
      </c>
      <c r="B180" s="177">
        <v>0.0641</v>
      </c>
      <c r="C180" s="254">
        <v>-1000000</v>
      </c>
    </row>
    <row r="181" spans="1:4" ht="12.75">
      <c r="A181" s="58">
        <v>36799</v>
      </c>
      <c r="B181" s="177">
        <v>0.0648</v>
      </c>
      <c r="C181" s="254">
        <f>C$180-I197</f>
        <v>-998849.8935996729</v>
      </c>
      <c r="D181" s="209">
        <f>A181</f>
        <v>36799</v>
      </c>
    </row>
    <row r="182" spans="1:8" ht="12.75">
      <c r="A182" s="59">
        <v>36891</v>
      </c>
      <c r="B182" s="177">
        <v>0.0641</v>
      </c>
      <c r="C182" s="254">
        <f>C$180-I198</f>
        <v>-1000000</v>
      </c>
      <c r="D182" s="255">
        <f>C162</f>
        <v>0.9842277503014198</v>
      </c>
      <c r="E182" s="209">
        <f>A182</f>
        <v>36891</v>
      </c>
      <c r="F182" s="1"/>
      <c r="G182" s="1"/>
      <c r="H182" s="1"/>
    </row>
    <row r="183" spans="1:8" ht="12.75">
      <c r="A183" s="60">
        <v>36981</v>
      </c>
      <c r="B183" s="177">
        <v>0.0632</v>
      </c>
      <c r="C183" s="254">
        <f>C$180-I199</f>
        <v>-1001072.8749359285</v>
      </c>
      <c r="D183" s="255">
        <f aca="true" t="shared" si="2" ref="D183:G188">C163</f>
        <v>0.9687042644633939</v>
      </c>
      <c r="E183" s="255">
        <f>D163</f>
        <v>0.98405825624877</v>
      </c>
      <c r="F183" s="209">
        <f>A183</f>
        <v>36981</v>
      </c>
      <c r="G183" s="1"/>
      <c r="H183" s="1"/>
    </row>
    <row r="184" spans="1:8" ht="12.75">
      <c r="A184" s="61">
        <v>37072</v>
      </c>
      <c r="B184" s="177">
        <v>0.076</v>
      </c>
      <c r="C184" s="254">
        <f>C$180-I200</f>
        <v>-988555.5969795836</v>
      </c>
      <c r="D184" s="255">
        <f t="shared" si="2"/>
        <v>0.9534256189201977</v>
      </c>
      <c r="E184" s="255">
        <f t="shared" si="2"/>
        <v>0.9683706516913698</v>
      </c>
      <c r="F184" s="255">
        <f>E164</f>
        <v>0.9842277503014198</v>
      </c>
      <c r="G184" s="209">
        <f>A184</f>
        <v>37072</v>
      </c>
      <c r="H184" s="1"/>
    </row>
    <row r="185" spans="1:8" ht="12.75">
      <c r="A185" s="62">
        <v>37164</v>
      </c>
      <c r="B185" s="177">
        <v>0.0771</v>
      </c>
      <c r="C185" s="254">
        <v>-990614.1278391791</v>
      </c>
      <c r="D185" s="255">
        <f t="shared" si="2"/>
        <v>0.9383879519895649</v>
      </c>
      <c r="E185" s="255">
        <f t="shared" si="2"/>
        <v>0.9529331349058943</v>
      </c>
      <c r="F185" s="255">
        <f t="shared" si="2"/>
        <v>0.9687042644633939</v>
      </c>
      <c r="G185" s="255">
        <f>F165</f>
        <v>0.9844457570387871</v>
      </c>
      <c r="H185" s="209">
        <f>A185</f>
        <v>37164</v>
      </c>
    </row>
    <row r="186" spans="1:9" ht="12.75">
      <c r="A186" s="58">
        <v>37256</v>
      </c>
      <c r="B186" s="177">
        <v>0.0782</v>
      </c>
      <c r="C186" s="254">
        <v>-993145.9530933846</v>
      </c>
      <c r="D186" s="255">
        <f t="shared" si="2"/>
        <v>0.9235874628966463</v>
      </c>
      <c r="E186" s="255">
        <f t="shared" si="2"/>
        <v>0.9377417190571683</v>
      </c>
      <c r="F186" s="255">
        <f t="shared" si="2"/>
        <v>0.9534256189201977</v>
      </c>
      <c r="G186" s="255">
        <f t="shared" si="2"/>
        <v>0.9691334485516706</v>
      </c>
      <c r="H186" s="255">
        <f>G166</f>
        <v>0.9813542688910698</v>
      </c>
      <c r="I186" s="209">
        <f>A186</f>
        <v>37256</v>
      </c>
    </row>
    <row r="187" spans="1:10" ht="12.75">
      <c r="A187" s="57">
        <v>37346</v>
      </c>
      <c r="B187" s="177">
        <v>0.0742</v>
      </c>
      <c r="C187" s="254">
        <v>-997522.7490127787</v>
      </c>
      <c r="D187" s="255">
        <f t="shared" si="2"/>
        <v>0.909020410813362</v>
      </c>
      <c r="E187" s="255">
        <f t="shared" si="2"/>
        <v>0.922792480867121</v>
      </c>
      <c r="F187" s="255">
        <f t="shared" si="2"/>
        <v>0.9383879519895649</v>
      </c>
      <c r="G187" s="255">
        <f t="shared" si="2"/>
        <v>0.9540593114310598</v>
      </c>
      <c r="H187" s="255">
        <f>G167</f>
        <v>0.963056201070726</v>
      </c>
      <c r="I187" s="255">
        <f>H167</f>
        <v>0.9810894998896275</v>
      </c>
      <c r="J187" s="209">
        <f>A187</f>
        <v>37346</v>
      </c>
    </row>
    <row r="188" spans="1:10" ht="13.5" thickBot="1">
      <c r="A188" s="63">
        <v>37437</v>
      </c>
      <c r="B188" s="52" t="s">
        <v>35</v>
      </c>
      <c r="C188" s="4"/>
      <c r="D188" s="266">
        <f t="shared" si="2"/>
        <v>0.8946831139129077</v>
      </c>
      <c r="E188" s="266">
        <f t="shared" si="2"/>
        <v>0.9080815596015754</v>
      </c>
      <c r="F188" s="266">
        <f t="shared" si="2"/>
        <v>0.9235874628966463</v>
      </c>
      <c r="G188" s="266">
        <f t="shared" si="2"/>
        <v>0.9392196411016537</v>
      </c>
      <c r="H188" s="266">
        <f>G168</f>
        <v>0.9450993141027734</v>
      </c>
      <c r="I188" s="266">
        <f>H168</f>
        <v>0.9625366067936794</v>
      </c>
      <c r="J188" s="266">
        <f>I168</f>
        <v>0.9808248737187976</v>
      </c>
    </row>
    <row r="189" spans="1:10" ht="13.5" thickTop="1">
      <c r="A189" s="165"/>
      <c r="B189" s="52"/>
      <c r="C189" s="264" t="s">
        <v>273</v>
      </c>
      <c r="D189" s="265">
        <f>SUM(D182:D188)</f>
        <v>6.572036573297492</v>
      </c>
      <c r="E189" s="265">
        <f>SUM(E183:E188)</f>
        <v>5.673977802371899</v>
      </c>
      <c r="F189" s="265">
        <f>SUM(F184:F188)</f>
        <v>4.768333048571223</v>
      </c>
      <c r="G189" s="265">
        <f>SUM(G185:G188)</f>
        <v>3.846858158123171</v>
      </c>
      <c r="H189" s="265">
        <f>SUM(H186:H188)</f>
        <v>2.889509784064569</v>
      </c>
      <c r="I189" s="265">
        <f>SUM(I187:I188)</f>
        <v>1.9436261066833067</v>
      </c>
      <c r="J189" s="265">
        <f>SUM(J188)</f>
        <v>0.9808248737187976</v>
      </c>
    </row>
    <row r="190" spans="1:10" ht="12.75">
      <c r="A190" s="165"/>
      <c r="B190" s="52"/>
      <c r="C190" s="4"/>
      <c r="D190" s="208"/>
      <c r="E190" s="208"/>
      <c r="F190" s="208"/>
      <c r="G190" s="208"/>
      <c r="H190" s="208"/>
      <c r="I190" s="208"/>
      <c r="J190" s="208"/>
    </row>
    <row r="191" ht="12.75">
      <c r="A191" t="s">
        <v>35</v>
      </c>
    </row>
    <row r="192" spans="1:9" ht="18">
      <c r="A192" s="176" t="s">
        <v>245</v>
      </c>
      <c r="I192" s="213" t="s">
        <v>305</v>
      </c>
    </row>
    <row r="193" spans="6:11" ht="12.75">
      <c r="F193" s="4" t="s">
        <v>208</v>
      </c>
      <c r="G193" s="4" t="s">
        <v>201</v>
      </c>
      <c r="H193" s="1" t="s">
        <v>236</v>
      </c>
      <c r="I193" s="4" t="s">
        <v>268</v>
      </c>
      <c r="J193" s="4" t="s">
        <v>111</v>
      </c>
      <c r="K193" s="4" t="s">
        <v>111</v>
      </c>
    </row>
    <row r="194" spans="2:11" ht="12.75">
      <c r="B194" s="52" t="s">
        <v>202</v>
      </c>
      <c r="C194" s="4" t="s">
        <v>202</v>
      </c>
      <c r="D194" s="4" t="s">
        <v>203</v>
      </c>
      <c r="E194" s="4" t="s">
        <v>203</v>
      </c>
      <c r="F194" s="4" t="s">
        <v>207</v>
      </c>
      <c r="G194" s="4" t="s">
        <v>235</v>
      </c>
      <c r="H194" s="4" t="s">
        <v>43</v>
      </c>
      <c r="I194" s="4" t="s">
        <v>269</v>
      </c>
      <c r="J194" s="4" t="s">
        <v>112</v>
      </c>
      <c r="K194" s="4" t="s">
        <v>308</v>
      </c>
    </row>
    <row r="195" spans="1:11" ht="12.75">
      <c r="A195" s="4" t="s">
        <v>200</v>
      </c>
      <c r="B195" s="52" t="s">
        <v>201</v>
      </c>
      <c r="C195" s="4" t="s">
        <v>204</v>
      </c>
      <c r="D195" s="4" t="s">
        <v>201</v>
      </c>
      <c r="E195" s="4" t="s">
        <v>204</v>
      </c>
      <c r="F195" s="168" t="s">
        <v>201</v>
      </c>
      <c r="G195" s="4" t="s">
        <v>208</v>
      </c>
      <c r="H195" s="4" t="s">
        <v>237</v>
      </c>
      <c r="I195" s="4" t="s">
        <v>270</v>
      </c>
      <c r="J195" s="4" t="s">
        <v>205</v>
      </c>
      <c r="K195" s="4" t="s">
        <v>213</v>
      </c>
    </row>
    <row r="196" spans="1:11" ht="12.75">
      <c r="A196" s="86">
        <v>36708</v>
      </c>
      <c r="B196" s="166">
        <f>B180</f>
        <v>0.0641</v>
      </c>
      <c r="C196" s="166">
        <f>B180</f>
        <v>0.0641</v>
      </c>
      <c r="D196" s="167">
        <f>B196/4</f>
        <v>0.016025</v>
      </c>
      <c r="E196" s="167">
        <f>C196/4</f>
        <v>0.016025</v>
      </c>
      <c r="F196" s="167">
        <f>1+(E196-E$196)/D196</f>
        <v>1</v>
      </c>
      <c r="G196" s="4">
        <v>0</v>
      </c>
      <c r="H196" s="175">
        <f>G196</f>
        <v>0</v>
      </c>
      <c r="I196" s="175">
        <f>H196</f>
        <v>0</v>
      </c>
      <c r="J196" s="175">
        <f aca="true" t="shared" si="3" ref="J196:J203">-I196+C215</f>
        <v>-1000000</v>
      </c>
      <c r="K196" s="98">
        <f>J196-I196</f>
        <v>-1000000</v>
      </c>
    </row>
    <row r="197" spans="1:11" ht="12.75">
      <c r="A197" s="58">
        <v>36799</v>
      </c>
      <c r="B197" s="166">
        <f>B196</f>
        <v>0.0641</v>
      </c>
      <c r="C197" s="166">
        <f aca="true" t="shared" si="4" ref="C197:C203">B181</f>
        <v>0.0648</v>
      </c>
      <c r="D197" s="167">
        <f aca="true" t="shared" si="5" ref="D197:E203">B197/4</f>
        <v>0.016025</v>
      </c>
      <c r="E197" s="167">
        <f t="shared" si="5"/>
        <v>0.0162</v>
      </c>
      <c r="F197" s="167">
        <f>1+(E197-E$196)/D197</f>
        <v>1.0109204368174727</v>
      </c>
      <c r="G197" s="173">
        <f>E197-D197</f>
        <v>0.00017499999999999807</v>
      </c>
      <c r="H197" s="175">
        <f aca="true" t="shared" si="6" ref="H197:H203">G197*C216</f>
        <v>-174.99999999999807</v>
      </c>
      <c r="I197" s="175">
        <f>H197*D189</f>
        <v>-1150.1064003270483</v>
      </c>
      <c r="J197" s="175">
        <f t="shared" si="3"/>
        <v>-998849.8935996729</v>
      </c>
      <c r="K197" s="98">
        <f aca="true" t="shared" si="7" ref="K197:K203">J197+I197</f>
        <v>-1000000</v>
      </c>
    </row>
    <row r="198" spans="1:11" ht="12.75">
      <c r="A198" s="59">
        <v>36891</v>
      </c>
      <c r="B198" s="166">
        <f aca="true" t="shared" si="8" ref="B198:B203">B197</f>
        <v>0.0641</v>
      </c>
      <c r="C198" s="166">
        <f t="shared" si="4"/>
        <v>0.0641</v>
      </c>
      <c r="D198" s="167">
        <f t="shared" si="5"/>
        <v>0.016025</v>
      </c>
      <c r="E198" s="167">
        <f t="shared" si="5"/>
        <v>0.016025</v>
      </c>
      <c r="F198" s="167">
        <f aca="true" t="shared" si="9" ref="F198:F203">1+(E198-E$196)/D198</f>
        <v>1</v>
      </c>
      <c r="G198" s="173">
        <f aca="true" t="shared" si="10" ref="G198:G203">E198-D198</f>
        <v>0</v>
      </c>
      <c r="H198" s="175">
        <f t="shared" si="6"/>
        <v>0</v>
      </c>
      <c r="I198" s="175">
        <f>H198*E189</f>
        <v>0</v>
      </c>
      <c r="J198" s="175">
        <f t="shared" si="3"/>
        <v>-1000000</v>
      </c>
      <c r="K198" s="98">
        <f t="shared" si="7"/>
        <v>-1000000</v>
      </c>
    </row>
    <row r="199" spans="1:11" ht="12.75">
      <c r="A199" s="60">
        <v>36981</v>
      </c>
      <c r="B199" s="166">
        <f t="shared" si="8"/>
        <v>0.0641</v>
      </c>
      <c r="C199" s="166">
        <f t="shared" si="4"/>
        <v>0.0632</v>
      </c>
      <c r="D199" s="167">
        <f t="shared" si="5"/>
        <v>0.016025</v>
      </c>
      <c r="E199" s="167">
        <f t="shared" si="5"/>
        <v>0.0158</v>
      </c>
      <c r="F199" s="167">
        <f t="shared" si="9"/>
        <v>0.9859594383775351</v>
      </c>
      <c r="G199" s="173">
        <f t="shared" si="10"/>
        <v>-0.0002249999999999995</v>
      </c>
      <c r="H199" s="175">
        <f t="shared" si="6"/>
        <v>224.99999999999952</v>
      </c>
      <c r="I199" s="175">
        <f>H199*F189</f>
        <v>1072.8749359285227</v>
      </c>
      <c r="J199" s="175">
        <f t="shared" si="3"/>
        <v>-1001072.8749359285</v>
      </c>
      <c r="K199" s="98">
        <f t="shared" si="7"/>
        <v>-1000000</v>
      </c>
    </row>
    <row r="200" spans="1:11" ht="12.75">
      <c r="A200" s="61">
        <v>37072</v>
      </c>
      <c r="B200" s="166">
        <f t="shared" si="8"/>
        <v>0.0641</v>
      </c>
      <c r="C200" s="166">
        <f t="shared" si="4"/>
        <v>0.076</v>
      </c>
      <c r="D200" s="167">
        <f t="shared" si="5"/>
        <v>0.016025</v>
      </c>
      <c r="E200" s="167">
        <f t="shared" si="5"/>
        <v>0.019</v>
      </c>
      <c r="F200" s="167">
        <f t="shared" si="9"/>
        <v>1.1856474258970358</v>
      </c>
      <c r="G200" s="173">
        <f t="shared" si="10"/>
        <v>0.0029749999999999985</v>
      </c>
      <c r="H200" s="175">
        <f t="shared" si="6"/>
        <v>-2974.9999999999986</v>
      </c>
      <c r="I200" s="175">
        <f>H200*G189</f>
        <v>-11444.403020416428</v>
      </c>
      <c r="J200" s="175">
        <f t="shared" si="3"/>
        <v>-988555.5969795836</v>
      </c>
      <c r="K200" s="98">
        <f t="shared" si="7"/>
        <v>-1000000</v>
      </c>
    </row>
    <row r="201" spans="1:11" ht="12.75">
      <c r="A201" s="62">
        <v>37164</v>
      </c>
      <c r="B201" s="166">
        <f t="shared" si="8"/>
        <v>0.0641</v>
      </c>
      <c r="C201" s="166">
        <f t="shared" si="4"/>
        <v>0.0771</v>
      </c>
      <c r="D201" s="167">
        <f t="shared" si="5"/>
        <v>0.016025</v>
      </c>
      <c r="E201" s="167">
        <f t="shared" si="5"/>
        <v>0.019275</v>
      </c>
      <c r="F201" s="167">
        <f t="shared" si="9"/>
        <v>1.202808112324493</v>
      </c>
      <c r="G201" s="173">
        <f t="shared" si="10"/>
        <v>0.0032499999999999994</v>
      </c>
      <c r="H201" s="175">
        <f t="shared" si="6"/>
        <v>-3249.9999999999995</v>
      </c>
      <c r="I201" s="175">
        <f>H201*H189</f>
        <v>-9390.906798209848</v>
      </c>
      <c r="J201" s="175">
        <f t="shared" si="3"/>
        <v>-990609.0932017901</v>
      </c>
      <c r="K201" s="98">
        <f t="shared" si="7"/>
        <v>-1000000</v>
      </c>
    </row>
    <row r="202" spans="1:11" ht="12.75">
      <c r="A202" s="58">
        <v>37256</v>
      </c>
      <c r="B202" s="166">
        <f t="shared" si="8"/>
        <v>0.0641</v>
      </c>
      <c r="C202" s="166">
        <f t="shared" si="4"/>
        <v>0.0782</v>
      </c>
      <c r="D202" s="167">
        <f t="shared" si="5"/>
        <v>0.016025</v>
      </c>
      <c r="E202" s="167">
        <f t="shared" si="5"/>
        <v>0.01955</v>
      </c>
      <c r="F202" s="167">
        <f t="shared" si="9"/>
        <v>1.21996879875195</v>
      </c>
      <c r="G202" s="173">
        <f t="shared" si="10"/>
        <v>0.0035250000000000004</v>
      </c>
      <c r="H202" s="175">
        <f t="shared" si="6"/>
        <v>-3525.0000000000005</v>
      </c>
      <c r="I202" s="175">
        <f>H202*I189</f>
        <v>-6851.282026058657</v>
      </c>
      <c r="J202" s="175">
        <f t="shared" si="3"/>
        <v>-993148.7179739414</v>
      </c>
      <c r="K202" s="98">
        <f t="shared" si="7"/>
        <v>-1000000</v>
      </c>
    </row>
    <row r="203" spans="1:11" ht="13.5" thickBot="1">
      <c r="A203" s="57">
        <v>37346</v>
      </c>
      <c r="B203" s="166">
        <f t="shared" si="8"/>
        <v>0.0641</v>
      </c>
      <c r="C203" s="166">
        <f t="shared" si="4"/>
        <v>0.0742</v>
      </c>
      <c r="D203" s="167">
        <f t="shared" si="5"/>
        <v>0.016025</v>
      </c>
      <c r="E203" s="167">
        <f t="shared" si="5"/>
        <v>0.01855</v>
      </c>
      <c r="F203" s="167">
        <f t="shared" si="9"/>
        <v>1.1575663026521061</v>
      </c>
      <c r="G203" s="173">
        <f t="shared" si="10"/>
        <v>0.0025249999999999995</v>
      </c>
      <c r="H203" s="175">
        <f t="shared" si="6"/>
        <v>-2524.9999999999995</v>
      </c>
      <c r="I203" s="175">
        <f>H203*J189</f>
        <v>-2476.5828061399634</v>
      </c>
      <c r="J203" s="175">
        <f t="shared" si="3"/>
        <v>-997523.41719386</v>
      </c>
      <c r="K203" s="98">
        <f t="shared" si="7"/>
        <v>-1000000</v>
      </c>
    </row>
    <row r="204" spans="1:10" ht="14.25" thickBot="1" thickTop="1">
      <c r="A204" s="63">
        <v>37437</v>
      </c>
      <c r="B204" s="166" t="s">
        <v>35</v>
      </c>
      <c r="D204" s="167"/>
      <c r="E204" s="167"/>
      <c r="F204" s="167"/>
      <c r="G204" s="173"/>
      <c r="H204" s="210">
        <f>SUM(H196:H203)</f>
        <v>-12224.999999999996</v>
      </c>
      <c r="I204" s="211" t="s">
        <v>254</v>
      </c>
      <c r="J204" s="212"/>
    </row>
    <row r="205" spans="1:10" ht="13.5" thickTop="1">
      <c r="A205" s="165"/>
      <c r="B205" s="166"/>
      <c r="D205" s="167"/>
      <c r="E205" s="167"/>
      <c r="F205" s="167"/>
      <c r="G205" s="173"/>
      <c r="H205" s="236"/>
      <c r="I205" s="237"/>
      <c r="J205" s="12"/>
    </row>
    <row r="206" spans="1:10" ht="12.75">
      <c r="A206" s="165"/>
      <c r="B206" s="166"/>
      <c r="D206" s="167"/>
      <c r="E206" s="167"/>
      <c r="F206" s="167"/>
      <c r="G206" s="173"/>
      <c r="H206" s="236"/>
      <c r="I206" s="237"/>
      <c r="J206" s="12"/>
    </row>
    <row r="207" spans="1:8" ht="12.75">
      <c r="A207" s="165"/>
      <c r="B207" s="166"/>
      <c r="D207" s="167"/>
      <c r="E207" s="167"/>
      <c r="F207" s="167"/>
      <c r="G207" s="173"/>
      <c r="H207" s="174"/>
    </row>
    <row r="208" ht="18">
      <c r="A208" s="176" t="s">
        <v>246</v>
      </c>
    </row>
    <row r="209" ht="12.75">
      <c r="E209" s="24"/>
    </row>
    <row r="210" spans="4:8" ht="12.75">
      <c r="D210" s="4" t="s">
        <v>35</v>
      </c>
      <c r="E210" s="4" t="s">
        <v>35</v>
      </c>
      <c r="F210" s="4" t="s">
        <v>216</v>
      </c>
      <c r="G210" s="4" t="s">
        <v>35</v>
      </c>
      <c r="H210" s="4" t="s">
        <v>35</v>
      </c>
    </row>
    <row r="211" spans="1:10" ht="12.75">
      <c r="A211" s="138" t="s">
        <v>35</v>
      </c>
      <c r="D211" s="4" t="s">
        <v>35</v>
      </c>
      <c r="E211" s="4" t="s">
        <v>111</v>
      </c>
      <c r="F211" s="4" t="s">
        <v>217</v>
      </c>
      <c r="G211" s="4" t="s">
        <v>35</v>
      </c>
      <c r="H211" s="4" t="s">
        <v>214</v>
      </c>
      <c r="I211" s="4" t="s">
        <v>45</v>
      </c>
      <c r="J211" s="4" t="s">
        <v>183</v>
      </c>
    </row>
    <row r="212" spans="1:10" ht="12.75">
      <c r="A212" s="168" t="str">
        <f>A195</f>
        <v>Date</v>
      </c>
      <c r="D212" s="4" t="s">
        <v>214</v>
      </c>
      <c r="E212" s="4" t="s">
        <v>255</v>
      </c>
      <c r="F212" s="4" t="s">
        <v>218</v>
      </c>
      <c r="G212" s="4" t="s">
        <v>268</v>
      </c>
      <c r="H212" s="4" t="s">
        <v>112</v>
      </c>
      <c r="I212" s="4" t="s">
        <v>269</v>
      </c>
      <c r="J212" s="4" t="s">
        <v>112</v>
      </c>
    </row>
    <row r="213" spans="1:10" ht="12.75">
      <c r="A213" s="168"/>
      <c r="C213" s="4" t="s">
        <v>112</v>
      </c>
      <c r="D213" s="4" t="s">
        <v>112</v>
      </c>
      <c r="E213" s="4" t="s">
        <v>46</v>
      </c>
      <c r="F213" s="4" t="s">
        <v>204</v>
      </c>
      <c r="G213" s="4" t="s">
        <v>269</v>
      </c>
      <c r="H213" s="4" t="s">
        <v>46</v>
      </c>
      <c r="I213" s="4" t="s">
        <v>252</v>
      </c>
      <c r="J213" s="4" t="s">
        <v>215</v>
      </c>
    </row>
    <row r="214" spans="1:10" ht="12.75">
      <c r="A214" s="168"/>
      <c r="B214" s="4" t="s">
        <v>27</v>
      </c>
      <c r="C214" s="4" t="s">
        <v>28</v>
      </c>
      <c r="D214" s="4" t="s">
        <v>215</v>
      </c>
      <c r="E214" s="170" t="s">
        <v>205</v>
      </c>
      <c r="F214" s="4" t="s">
        <v>219</v>
      </c>
      <c r="G214" s="4" t="s">
        <v>270</v>
      </c>
      <c r="H214" s="170" t="s">
        <v>213</v>
      </c>
      <c r="I214" s="4" t="s">
        <v>253</v>
      </c>
      <c r="J214" s="4" t="s">
        <v>48</v>
      </c>
    </row>
    <row r="215" spans="1:10" ht="12.75">
      <c r="A215" s="86">
        <f>A196</f>
        <v>36708</v>
      </c>
      <c r="B215" s="24">
        <v>0</v>
      </c>
      <c r="C215" s="138">
        <f>D215</f>
        <v>-1000000</v>
      </c>
      <c r="D215" s="138">
        <f>C180</f>
        <v>-1000000</v>
      </c>
      <c r="E215" s="138">
        <f>J196</f>
        <v>-1000000</v>
      </c>
      <c r="F215" s="138">
        <f>D215-E215</f>
        <v>0</v>
      </c>
      <c r="G215" s="138">
        <f>I196</f>
        <v>0</v>
      </c>
      <c r="H215" s="138">
        <f aca="true" t="shared" si="11" ref="H215:H222">D215+G215</f>
        <v>-1000000</v>
      </c>
      <c r="I215" s="138">
        <f>H215-C215</f>
        <v>0</v>
      </c>
      <c r="J215" s="138">
        <f>I215-G215</f>
        <v>0</v>
      </c>
    </row>
    <row r="216" spans="1:10" ht="12.75">
      <c r="A216" s="58">
        <f aca="true" t="shared" si="12" ref="A216:A221">A197</f>
        <v>36799</v>
      </c>
      <c r="B216" s="24">
        <v>1</v>
      </c>
      <c r="C216" s="138">
        <f>C215</f>
        <v>-1000000</v>
      </c>
      <c r="D216" s="138">
        <f aca="true" t="shared" si="13" ref="D216:D222">C181</f>
        <v>-998849.8935996729</v>
      </c>
      <c r="E216" s="138">
        <f aca="true" t="shared" si="14" ref="E216:E222">J197</f>
        <v>-998849.8935996729</v>
      </c>
      <c r="F216" s="138">
        <f aca="true" t="shared" si="15" ref="F216:F223">D216-E216</f>
        <v>0</v>
      </c>
      <c r="G216" s="138">
        <f aca="true" t="shared" si="16" ref="G216:G222">I197</f>
        <v>-1150.1064003270483</v>
      </c>
      <c r="H216" s="138">
        <f t="shared" si="11"/>
        <v>-1000000</v>
      </c>
      <c r="I216" s="138">
        <f aca="true" t="shared" si="17" ref="I216:I222">-(J216-G215+G216)</f>
        <v>-1.0231815394945443E-11</v>
      </c>
      <c r="J216" s="138">
        <f>D216-D215</f>
        <v>1150.1064003270585</v>
      </c>
    </row>
    <row r="217" spans="1:10" ht="12.75">
      <c r="A217" s="59">
        <f t="shared" si="12"/>
        <v>36891</v>
      </c>
      <c r="B217" s="24">
        <v>2</v>
      </c>
      <c r="C217" s="138">
        <f aca="true" t="shared" si="18" ref="C217:C222">C216</f>
        <v>-1000000</v>
      </c>
      <c r="D217" s="138">
        <f t="shared" si="13"/>
        <v>-1000000</v>
      </c>
      <c r="E217" s="138">
        <f t="shared" si="14"/>
        <v>-1000000</v>
      </c>
      <c r="F217" s="138">
        <f t="shared" si="15"/>
        <v>0</v>
      </c>
      <c r="G217" s="138">
        <f t="shared" si="16"/>
        <v>0</v>
      </c>
      <c r="H217" s="138">
        <f t="shared" si="11"/>
        <v>-1000000</v>
      </c>
      <c r="I217" s="138">
        <f t="shared" si="17"/>
        <v>1.0231815394945443E-11</v>
      </c>
      <c r="J217" s="138">
        <f aca="true" t="shared" si="19" ref="J217:J222">D217-D216</f>
        <v>-1150.1064003270585</v>
      </c>
    </row>
    <row r="218" spans="1:10" ht="12.75">
      <c r="A218" s="60">
        <f t="shared" si="12"/>
        <v>36981</v>
      </c>
      <c r="B218" s="24">
        <v>3</v>
      </c>
      <c r="C218" s="138">
        <f t="shared" si="18"/>
        <v>-1000000</v>
      </c>
      <c r="D218" s="138">
        <f t="shared" si="13"/>
        <v>-1001072.8749359285</v>
      </c>
      <c r="E218" s="138">
        <f t="shared" si="14"/>
        <v>-1001072.8749359285</v>
      </c>
      <c r="F218" s="138">
        <f t="shared" si="15"/>
        <v>0</v>
      </c>
      <c r="G218" s="138">
        <f t="shared" si="16"/>
        <v>1072.8749359285227</v>
      </c>
      <c r="H218" s="138">
        <f t="shared" si="11"/>
        <v>-1000000</v>
      </c>
      <c r="I218" s="138">
        <f t="shared" si="17"/>
        <v>-2.3419488570652902E-11</v>
      </c>
      <c r="J218" s="138">
        <f>D218-D217</f>
        <v>-1072.8749359284993</v>
      </c>
    </row>
    <row r="219" spans="1:10" ht="12.75">
      <c r="A219" s="61">
        <f t="shared" si="12"/>
        <v>37072</v>
      </c>
      <c r="B219" s="24">
        <v>4</v>
      </c>
      <c r="C219" s="138">
        <f t="shared" si="18"/>
        <v>-1000000</v>
      </c>
      <c r="D219" s="138">
        <f t="shared" si="13"/>
        <v>-988555.5969795836</v>
      </c>
      <c r="E219" s="138">
        <f t="shared" si="14"/>
        <v>-988555.5969795836</v>
      </c>
      <c r="F219" s="138">
        <f t="shared" si="15"/>
        <v>0</v>
      </c>
      <c r="G219" s="138">
        <f t="shared" si="16"/>
        <v>-11444.403020416428</v>
      </c>
      <c r="H219" s="138">
        <f t="shared" si="11"/>
        <v>-1000000</v>
      </c>
      <c r="I219" s="138">
        <f t="shared" si="17"/>
        <v>6.548361852765083E-11</v>
      </c>
      <c r="J219" s="138">
        <f t="shared" si="19"/>
        <v>12517.277956344886</v>
      </c>
    </row>
    <row r="220" spans="1:10" ht="12.75">
      <c r="A220" s="62">
        <f t="shared" si="12"/>
        <v>37164</v>
      </c>
      <c r="B220" s="24">
        <v>5</v>
      </c>
      <c r="C220" s="138">
        <f t="shared" si="18"/>
        <v>-1000000</v>
      </c>
      <c r="D220" s="138">
        <f t="shared" si="13"/>
        <v>-990614.1278391791</v>
      </c>
      <c r="E220" s="138">
        <f t="shared" si="14"/>
        <v>-990609.0932017901</v>
      </c>
      <c r="F220" s="138">
        <f t="shared" si="15"/>
        <v>-5.034637389006093</v>
      </c>
      <c r="G220" s="138">
        <f t="shared" si="16"/>
        <v>-9390.906798209848</v>
      </c>
      <c r="H220" s="138">
        <f t="shared" si="11"/>
        <v>-1000005.034637389</v>
      </c>
      <c r="I220" s="138">
        <f t="shared" si="17"/>
        <v>5.034637388933334</v>
      </c>
      <c r="J220" s="138">
        <f t="shared" si="19"/>
        <v>-2058.530859595514</v>
      </c>
    </row>
    <row r="221" spans="1:10" ht="12.75">
      <c r="A221" s="58">
        <f t="shared" si="12"/>
        <v>37256</v>
      </c>
      <c r="B221" s="24">
        <v>6</v>
      </c>
      <c r="C221" s="138">
        <f t="shared" si="18"/>
        <v>-1000000</v>
      </c>
      <c r="D221" s="138">
        <f t="shared" si="13"/>
        <v>-993145.9530933846</v>
      </c>
      <c r="E221" s="138">
        <f t="shared" si="14"/>
        <v>-993148.7179739414</v>
      </c>
      <c r="F221" s="138">
        <f t="shared" si="15"/>
        <v>2.764880556729622</v>
      </c>
      <c r="G221" s="138">
        <f t="shared" si="16"/>
        <v>-6851.282026058657</v>
      </c>
      <c r="H221" s="138">
        <f t="shared" si="11"/>
        <v>-999997.2351194433</v>
      </c>
      <c r="I221" s="138">
        <f t="shared" si="17"/>
        <v>-7.799517945692969</v>
      </c>
      <c r="J221" s="138">
        <f t="shared" si="19"/>
        <v>-2531.825254205498</v>
      </c>
    </row>
    <row r="222" spans="1:10" ht="12.75">
      <c r="A222" s="57">
        <v>36616</v>
      </c>
      <c r="B222" s="24">
        <v>7</v>
      </c>
      <c r="C222" s="138">
        <f t="shared" si="18"/>
        <v>-1000000</v>
      </c>
      <c r="D222" s="138">
        <f t="shared" si="13"/>
        <v>-997522.7490127787</v>
      </c>
      <c r="E222" s="138">
        <f t="shared" si="14"/>
        <v>-997523.41719386</v>
      </c>
      <c r="F222" s="138">
        <f t="shared" si="15"/>
        <v>0.668181081302464</v>
      </c>
      <c r="G222" s="138">
        <f t="shared" si="16"/>
        <v>-2476.5828061399634</v>
      </c>
      <c r="H222" s="138">
        <f t="shared" si="11"/>
        <v>-999999.3318189187</v>
      </c>
      <c r="I222" s="138">
        <f t="shared" si="17"/>
        <v>2.096699475427158</v>
      </c>
      <c r="J222" s="138">
        <f t="shared" si="19"/>
        <v>-4376.795919394121</v>
      </c>
    </row>
    <row r="223" spans="1:10" ht="12.75">
      <c r="A223" s="63">
        <v>36707</v>
      </c>
      <c r="B223" s="24">
        <v>8</v>
      </c>
      <c r="C223" s="138">
        <v>-1000000</v>
      </c>
      <c r="D223" s="138">
        <f>J204</f>
        <v>0</v>
      </c>
      <c r="E223" s="138">
        <v>0</v>
      </c>
      <c r="F223" s="138">
        <f t="shared" si="15"/>
        <v>0</v>
      </c>
      <c r="G223" s="138">
        <v>0</v>
      </c>
      <c r="H223" s="138">
        <v>0</v>
      </c>
      <c r="I223" s="138">
        <v>0</v>
      </c>
      <c r="J223" s="138">
        <f>I223-G223</f>
        <v>0</v>
      </c>
    </row>
    <row r="224" spans="1:7" ht="12.75">
      <c r="A224" s="165"/>
      <c r="B224" s="24"/>
      <c r="C224" s="138"/>
      <c r="D224" s="138"/>
      <c r="E224" s="99"/>
      <c r="G224" s="99" t="s">
        <v>35</v>
      </c>
    </row>
    <row r="225" spans="1:5" ht="12.75">
      <c r="A225" s="169" t="s">
        <v>248</v>
      </c>
      <c r="B225" s="24"/>
      <c r="C225" s="138"/>
      <c r="D225" s="138"/>
      <c r="E225" s="99"/>
    </row>
    <row r="226" spans="1:5" ht="12.75">
      <c r="A226" s="169" t="s">
        <v>239</v>
      </c>
      <c r="B226" s="24"/>
      <c r="C226" s="138"/>
      <c r="D226" s="138"/>
      <c r="E226" s="99"/>
    </row>
    <row r="227" spans="1:6" ht="14.25">
      <c r="A227" s="169" t="s">
        <v>249</v>
      </c>
      <c r="B227" s="24"/>
      <c r="C227" s="138"/>
      <c r="D227" s="179">
        <f>CORREL(D215:D223,E215:E223)</f>
        <v>0.9999999999812287</v>
      </c>
      <c r="E227" s="178" t="s">
        <v>250</v>
      </c>
      <c r="F227" s="179">
        <f>D227^2</f>
        <v>0.9999999999624574</v>
      </c>
    </row>
    <row r="228" spans="1:5" ht="12.75">
      <c r="A228" s="169"/>
      <c r="B228" s="24"/>
      <c r="C228" s="138"/>
      <c r="D228" s="138"/>
      <c r="E228" s="99"/>
    </row>
    <row r="229" spans="1:5" ht="12.75">
      <c r="A229" s="169"/>
      <c r="B229" s="24"/>
      <c r="C229" s="138"/>
      <c r="D229" s="138"/>
      <c r="E229" s="99"/>
    </row>
    <row r="230" spans="1:5" ht="12.75">
      <c r="A230" s="169"/>
      <c r="B230" s="24"/>
      <c r="C230" s="138"/>
      <c r="D230" s="138"/>
      <c r="E230" s="99"/>
    </row>
    <row r="231" spans="1:5" ht="12.75">
      <c r="A231" s="169"/>
      <c r="B231" s="24"/>
      <c r="C231" s="138"/>
      <c r="D231" s="138"/>
      <c r="E231" s="99"/>
    </row>
    <row r="232" spans="1:5" ht="12.75">
      <c r="A232" s="169"/>
      <c r="B232" s="24"/>
      <c r="C232" s="138"/>
      <c r="D232" s="138"/>
      <c r="E232" s="99"/>
    </row>
    <row r="233" spans="1:5" ht="12.75">
      <c r="A233" s="169"/>
      <c r="B233" s="24"/>
      <c r="C233" s="138"/>
      <c r="D233" s="138"/>
      <c r="E233" s="99"/>
    </row>
    <row r="234" spans="1:5" ht="12.75">
      <c r="A234" s="169"/>
      <c r="B234" s="24"/>
      <c r="C234" s="138"/>
      <c r="D234" s="138"/>
      <c r="E234" s="99"/>
    </row>
    <row r="235" spans="1:5" ht="12.75">
      <c r="A235" s="169"/>
      <c r="B235" s="24"/>
      <c r="C235" s="138"/>
      <c r="D235" s="138"/>
      <c r="E235" s="99"/>
    </row>
    <row r="236" spans="1:5" ht="12.75">
      <c r="A236" s="165"/>
      <c r="B236" s="24"/>
      <c r="C236" s="138"/>
      <c r="D236" s="138"/>
      <c r="E236" s="99"/>
    </row>
    <row r="253" ht="15.75">
      <c r="A253" s="180" t="s">
        <v>251</v>
      </c>
    </row>
    <row r="254" ht="12.75">
      <c r="I254" s="4" t="s">
        <v>252</v>
      </c>
    </row>
    <row r="255" spans="4:9" ht="12.75">
      <c r="D255" s="24" t="s">
        <v>35</v>
      </c>
      <c r="E255" s="24" t="s">
        <v>35</v>
      </c>
      <c r="F255" s="4" t="s">
        <v>242</v>
      </c>
      <c r="G255" s="24" t="s">
        <v>35</v>
      </c>
      <c r="H255" s="24" t="s">
        <v>35</v>
      </c>
      <c r="I255" s="4" t="s">
        <v>253</v>
      </c>
    </row>
    <row r="256" spans="1:12" ht="12.75">
      <c r="A256" s="138" t="s">
        <v>35</v>
      </c>
      <c r="D256" s="4" t="s">
        <v>45</v>
      </c>
      <c r="E256" s="24" t="s">
        <v>35</v>
      </c>
      <c r="F256" s="1" t="s">
        <v>240</v>
      </c>
      <c r="G256" s="24" t="s">
        <v>35</v>
      </c>
      <c r="H256" s="4" t="s">
        <v>111</v>
      </c>
      <c r="I256" s="4" t="s">
        <v>309</v>
      </c>
      <c r="J256" s="4" t="s">
        <v>111</v>
      </c>
      <c r="K256" s="4" t="s">
        <v>214</v>
      </c>
      <c r="L256" s="4" t="s">
        <v>45</v>
      </c>
    </row>
    <row r="257" spans="1:12" ht="12.75">
      <c r="A257" s="168" t="s">
        <v>35</v>
      </c>
      <c r="D257" s="4" t="s">
        <v>269</v>
      </c>
      <c r="E257" s="4" t="s">
        <v>44</v>
      </c>
      <c r="F257" s="1" t="s">
        <v>241</v>
      </c>
      <c r="G257" s="4" t="s">
        <v>211</v>
      </c>
      <c r="H257" s="4" t="s">
        <v>112</v>
      </c>
      <c r="I257" s="4" t="s">
        <v>268</v>
      </c>
      <c r="J257" s="4" t="s">
        <v>112</v>
      </c>
      <c r="K257" s="4" t="s">
        <v>112</v>
      </c>
      <c r="L257" s="4" t="s">
        <v>269</v>
      </c>
    </row>
    <row r="258" spans="1:12" ht="12.75">
      <c r="A258" s="168"/>
      <c r="C258" s="4" t="s">
        <v>112</v>
      </c>
      <c r="D258" s="4" t="s">
        <v>43</v>
      </c>
      <c r="E258" s="4" t="s">
        <v>210</v>
      </c>
      <c r="F258" s="1" t="s">
        <v>44</v>
      </c>
      <c r="G258" s="4" t="s">
        <v>121</v>
      </c>
      <c r="H258" s="4" t="s">
        <v>206</v>
      </c>
      <c r="I258" s="4" t="s">
        <v>269</v>
      </c>
      <c r="J258" s="4" t="s">
        <v>46</v>
      </c>
      <c r="K258" s="4" t="s">
        <v>46</v>
      </c>
      <c r="L258" s="4" t="s">
        <v>252</v>
      </c>
    </row>
    <row r="259" spans="1:12" ht="12.75">
      <c r="A259" s="168"/>
      <c r="B259" s="4" t="s">
        <v>27</v>
      </c>
      <c r="C259" s="4" t="s">
        <v>28</v>
      </c>
      <c r="D259" s="4" t="s">
        <v>270</v>
      </c>
      <c r="E259" s="4" t="s">
        <v>48</v>
      </c>
      <c r="F259" s="4" t="s">
        <v>210</v>
      </c>
      <c r="G259" s="4" t="s">
        <v>212</v>
      </c>
      <c r="H259" s="4" t="s">
        <v>205</v>
      </c>
      <c r="I259" s="4" t="s">
        <v>270</v>
      </c>
      <c r="J259" s="4" t="s">
        <v>213</v>
      </c>
      <c r="K259" s="170" t="s">
        <v>213</v>
      </c>
      <c r="L259" s="4" t="s">
        <v>253</v>
      </c>
    </row>
    <row r="260" spans="1:12" ht="12.75">
      <c r="A260" s="86">
        <v>36708</v>
      </c>
      <c r="B260" s="24">
        <v>0</v>
      </c>
      <c r="C260" s="138">
        <v>-1000000</v>
      </c>
      <c r="D260" s="138">
        <f>G215</f>
        <v>0</v>
      </c>
      <c r="E260" s="138">
        <v>0</v>
      </c>
      <c r="F260" s="138">
        <f>-(H196+E260)</f>
        <v>0</v>
      </c>
      <c r="G260" s="138">
        <v>0</v>
      </c>
      <c r="H260" s="99">
        <f>C260</f>
        <v>-1000000</v>
      </c>
      <c r="I260" s="138">
        <f>D260</f>
        <v>0</v>
      </c>
      <c r="J260" s="99">
        <f>H260+I260</f>
        <v>-1000000</v>
      </c>
      <c r="K260" s="99">
        <f>H215</f>
        <v>-1000000</v>
      </c>
      <c r="L260" s="99">
        <f>I215</f>
        <v>0</v>
      </c>
    </row>
    <row r="261" spans="1:12" ht="12.75">
      <c r="A261" s="58">
        <v>36799</v>
      </c>
      <c r="B261" s="24">
        <v>1</v>
      </c>
      <c r="C261" s="138">
        <v>-1000000</v>
      </c>
      <c r="D261" s="138">
        <f aca="true" t="shared" si="20" ref="D261:D267">G216</f>
        <v>-1150.1064003270483</v>
      </c>
      <c r="E261" s="138">
        <v>0</v>
      </c>
      <c r="F261" s="138">
        <f aca="true" t="shared" si="21" ref="F261:F268">-(H196+E261)</f>
        <v>0</v>
      </c>
      <c r="G261" s="138">
        <f aca="true" t="shared" si="22" ref="G261:G267">-(D260-D261+E261)</f>
        <v>-1150.1064003270483</v>
      </c>
      <c r="H261" s="99">
        <f aca="true" t="shared" si="23" ref="H261:H267">H260-E261-G261</f>
        <v>-998849.8935996729</v>
      </c>
      <c r="I261" s="138">
        <f aca="true" t="shared" si="24" ref="I261:I267">D261</f>
        <v>-1150.1064003270483</v>
      </c>
      <c r="J261" s="99">
        <f aca="true" t="shared" si="25" ref="J261:J267">H261+I261</f>
        <v>-1000000</v>
      </c>
      <c r="K261" s="99">
        <f aca="true" t="shared" si="26" ref="K261:K267">H216</f>
        <v>-1000000</v>
      </c>
      <c r="L261" s="99">
        <f aca="true" t="shared" si="27" ref="L261:L267">I216</f>
        <v>-1.0231815394945443E-11</v>
      </c>
    </row>
    <row r="262" spans="1:12" ht="12.75">
      <c r="A262" s="59">
        <v>36891</v>
      </c>
      <c r="B262" s="24">
        <v>2</v>
      </c>
      <c r="C262" s="138">
        <v>-1000000</v>
      </c>
      <c r="D262" s="138">
        <f t="shared" si="20"/>
        <v>0</v>
      </c>
      <c r="E262" s="138">
        <f aca="true" t="shared" si="28" ref="E262:E268">-PMT(E196,B$223-B216,0,-D261)</f>
        <v>156.56954493475703</v>
      </c>
      <c r="F262" s="138">
        <f t="shared" si="21"/>
        <v>18.430455065241034</v>
      </c>
      <c r="G262" s="138">
        <f t="shared" si="22"/>
        <v>993.5368553922913</v>
      </c>
      <c r="H262" s="99">
        <f t="shared" si="23"/>
        <v>-1000000</v>
      </c>
      <c r="I262" s="138">
        <f t="shared" si="24"/>
        <v>0</v>
      </c>
      <c r="J262" s="99">
        <f t="shared" si="25"/>
        <v>-1000000</v>
      </c>
      <c r="K262" s="99">
        <f t="shared" si="26"/>
        <v>-1000000</v>
      </c>
      <c r="L262" s="99">
        <f t="shared" si="27"/>
        <v>1.0231815394945443E-11</v>
      </c>
    </row>
    <row r="263" spans="1:12" ht="12.75">
      <c r="A263" s="60">
        <v>36981</v>
      </c>
      <c r="B263" s="24">
        <v>3</v>
      </c>
      <c r="C263" s="138">
        <v>-1000000</v>
      </c>
      <c r="D263" s="138">
        <f t="shared" si="20"/>
        <v>1072.8749359285227</v>
      </c>
      <c r="E263" s="138">
        <f t="shared" si="28"/>
        <v>0</v>
      </c>
      <c r="F263" s="138">
        <f t="shared" si="21"/>
        <v>0</v>
      </c>
      <c r="G263" s="138">
        <f t="shared" si="22"/>
        <v>1072.8749359285227</v>
      </c>
      <c r="H263" s="99">
        <f t="shared" si="23"/>
        <v>-1001072.8749359285</v>
      </c>
      <c r="I263" s="138">
        <f t="shared" si="24"/>
        <v>1072.8749359285227</v>
      </c>
      <c r="J263" s="99">
        <f t="shared" si="25"/>
        <v>-1000000</v>
      </c>
      <c r="K263" s="99">
        <f t="shared" si="26"/>
        <v>-1000000</v>
      </c>
      <c r="L263" s="99">
        <f t="shared" si="27"/>
        <v>-2.3419488570652902E-11</v>
      </c>
    </row>
    <row r="264" spans="1:12" ht="12.75">
      <c r="A264" s="61">
        <v>37072</v>
      </c>
      <c r="B264" s="24">
        <v>4</v>
      </c>
      <c r="C264" s="138">
        <v>-1000000</v>
      </c>
      <c r="D264" s="138">
        <f t="shared" si="20"/>
        <v>-11444.403020416428</v>
      </c>
      <c r="E264" s="138">
        <f t="shared" si="28"/>
        <v>-207.80717915174517</v>
      </c>
      <c r="F264" s="138">
        <f t="shared" si="21"/>
        <v>-17.192820848254343</v>
      </c>
      <c r="G264" s="138">
        <f t="shared" si="22"/>
        <v>-12309.470777193206</v>
      </c>
      <c r="H264" s="99">
        <f t="shared" si="23"/>
        <v>-988555.5969795835</v>
      </c>
      <c r="I264" s="138">
        <f t="shared" si="24"/>
        <v>-11444.403020416428</v>
      </c>
      <c r="J264" s="99">
        <f t="shared" si="25"/>
        <v>-999999.9999999999</v>
      </c>
      <c r="K264" s="99">
        <f t="shared" si="26"/>
        <v>-1000000</v>
      </c>
      <c r="L264" s="99">
        <f t="shared" si="27"/>
        <v>6.548361852765083E-11</v>
      </c>
    </row>
    <row r="265" spans="1:12" ht="12.75">
      <c r="A265" s="62">
        <v>37164</v>
      </c>
      <c r="B265" s="24">
        <v>5</v>
      </c>
      <c r="C265" s="138">
        <v>-1000000</v>
      </c>
      <c r="D265" s="138">
        <f t="shared" si="20"/>
        <v>-9390.906798209848</v>
      </c>
      <c r="E265" s="138">
        <f t="shared" si="28"/>
        <v>2794.1784322774106</v>
      </c>
      <c r="F265" s="138">
        <f t="shared" si="21"/>
        <v>180.82156772258804</v>
      </c>
      <c r="G265" s="138">
        <f t="shared" si="22"/>
        <v>-740.68221007083</v>
      </c>
      <c r="H265" s="99">
        <f t="shared" si="23"/>
        <v>-990609.0932017901</v>
      </c>
      <c r="I265" s="138">
        <f t="shared" si="24"/>
        <v>-9390.906798209848</v>
      </c>
      <c r="J265" s="99">
        <f t="shared" si="25"/>
        <v>-1000000</v>
      </c>
      <c r="K265" s="99">
        <f t="shared" si="26"/>
        <v>-1000005.034637389</v>
      </c>
      <c r="L265" s="99">
        <f t="shared" si="27"/>
        <v>5.034637388933334</v>
      </c>
    </row>
    <row r="266" spans="1:12" ht="12.75">
      <c r="A266" s="58">
        <v>37256</v>
      </c>
      <c r="B266" s="24">
        <v>6</v>
      </c>
      <c r="C266" s="138">
        <v>-1000000</v>
      </c>
      <c r="D266" s="138">
        <f t="shared" si="20"/>
        <v>-6851.282026058657</v>
      </c>
      <c r="E266" s="138">
        <f t="shared" si="28"/>
        <v>3071.5727708340205</v>
      </c>
      <c r="F266" s="138">
        <f t="shared" si="21"/>
        <v>178.42722916597904</v>
      </c>
      <c r="G266" s="138">
        <f t="shared" si="22"/>
        <v>-531.9479986828296</v>
      </c>
      <c r="H266" s="99">
        <f t="shared" si="23"/>
        <v>-993148.7179739412</v>
      </c>
      <c r="I266" s="138">
        <f t="shared" si="24"/>
        <v>-6851.282026058657</v>
      </c>
      <c r="J266" s="99">
        <f t="shared" si="25"/>
        <v>-999999.9999999999</v>
      </c>
      <c r="K266" s="99">
        <f t="shared" si="26"/>
        <v>-999997.2351194433</v>
      </c>
      <c r="L266" s="99">
        <f t="shared" si="27"/>
        <v>-7.799517945692969</v>
      </c>
    </row>
    <row r="267" spans="1:12" ht="12.75">
      <c r="A267" s="57">
        <v>37346</v>
      </c>
      <c r="B267" s="24">
        <v>7</v>
      </c>
      <c r="C267" s="138">
        <v>-1000000</v>
      </c>
      <c r="D267" s="138">
        <f t="shared" si="20"/>
        <v>-2476.5828061399634</v>
      </c>
      <c r="E267" s="138">
        <f t="shared" si="28"/>
        <v>3392.9415389477235</v>
      </c>
      <c r="F267" s="138">
        <f t="shared" si="21"/>
        <v>132.05846105227693</v>
      </c>
      <c r="G267" s="138">
        <f t="shared" si="22"/>
        <v>981.7576809709699</v>
      </c>
      <c r="H267" s="99">
        <f t="shared" si="23"/>
        <v>-997523.4171938599</v>
      </c>
      <c r="I267" s="138">
        <f t="shared" si="24"/>
        <v>-2476.5828061399634</v>
      </c>
      <c r="J267" s="99">
        <f t="shared" si="25"/>
        <v>-999999.9999999999</v>
      </c>
      <c r="K267" s="99">
        <f t="shared" si="26"/>
        <v>-999999.3318189187</v>
      </c>
      <c r="L267" s="99">
        <f t="shared" si="27"/>
        <v>2.096699475427158</v>
      </c>
    </row>
    <row r="268" spans="1:12" ht="12.75">
      <c r="A268" s="63">
        <v>37437</v>
      </c>
      <c r="B268" s="24">
        <v>8</v>
      </c>
      <c r="C268" s="138">
        <v>-1000000</v>
      </c>
      <c r="D268" s="138">
        <v>0</v>
      </c>
      <c r="E268" s="138">
        <f t="shared" si="28"/>
        <v>2476.5828061399693</v>
      </c>
      <c r="F268" s="138">
        <f t="shared" si="21"/>
        <v>48.41719386003024</v>
      </c>
      <c r="G268" s="138">
        <f>D267+D268+E268</f>
        <v>5.9117155615240335E-12</v>
      </c>
      <c r="H268" s="99">
        <v>0</v>
      </c>
      <c r="I268" s="138">
        <f>-D268</f>
        <v>0</v>
      </c>
      <c r="J268" s="99">
        <f>H268+I268</f>
        <v>0</v>
      </c>
      <c r="K268" s="99">
        <f>H223</f>
        <v>0</v>
      </c>
      <c r="L268" s="99">
        <f>I223</f>
        <v>0</v>
      </c>
    </row>
    <row r="269" spans="4:8" ht="12.75">
      <c r="D269" s="213" t="s">
        <v>306</v>
      </c>
      <c r="H269" s="99" t="s">
        <v>35</v>
      </c>
    </row>
    <row r="271" s="172" customFormat="1" ht="12.75"/>
    <row r="273" ht="18">
      <c r="A273" s="176" t="s">
        <v>243</v>
      </c>
    </row>
    <row r="275" ht="12.75">
      <c r="A275" t="s">
        <v>328</v>
      </c>
    </row>
    <row r="276" ht="12.75">
      <c r="A276" t="s">
        <v>329</v>
      </c>
    </row>
    <row r="277" ht="12.75">
      <c r="A277" t="s">
        <v>334</v>
      </c>
    </row>
    <row r="278" ht="12.75">
      <c r="A278" t="s">
        <v>330</v>
      </c>
    </row>
    <row r="279" ht="12.75">
      <c r="A279" t="s">
        <v>335</v>
      </c>
    </row>
    <row r="281" ht="12.75">
      <c r="F281" s="49" t="s">
        <v>36</v>
      </c>
    </row>
    <row r="282" spans="1:10" ht="12.75">
      <c r="A282" s="13" t="s">
        <v>35</v>
      </c>
      <c r="B282" s="13"/>
      <c r="C282" s="13"/>
      <c r="D282" s="13"/>
      <c r="E282" s="13"/>
      <c r="F282" s="186" t="s">
        <v>124</v>
      </c>
      <c r="G282" s="47" t="s">
        <v>37</v>
      </c>
      <c r="I282" s="1"/>
      <c r="J282" s="2"/>
    </row>
    <row r="283" spans="1:10" ht="12.75">
      <c r="A283" s="181">
        <f>A196</f>
        <v>36708</v>
      </c>
      <c r="B283" s="1" t="s">
        <v>38</v>
      </c>
      <c r="C283" s="1"/>
      <c r="D283" s="1"/>
      <c r="F283" s="182">
        <f>-C180</f>
        <v>1000000</v>
      </c>
      <c r="G283" s="182">
        <f>F283</f>
        <v>1000000</v>
      </c>
      <c r="I283" s="1"/>
      <c r="J283" s="2"/>
    </row>
    <row r="284" spans="2:10" ht="12.75">
      <c r="B284" s="1" t="s">
        <v>24</v>
      </c>
      <c r="D284" s="1"/>
      <c r="F284" s="183">
        <f>-F283</f>
        <v>-1000000</v>
      </c>
      <c r="G284" s="183">
        <f>F284</f>
        <v>-1000000</v>
      </c>
      <c r="I284" s="1"/>
      <c r="J284" s="2"/>
    </row>
    <row r="285" spans="2:10" ht="12.75">
      <c r="B285" s="14" t="s">
        <v>333</v>
      </c>
      <c r="F285" s="183"/>
      <c r="G285" s="183"/>
      <c r="I285" s="1"/>
      <c r="J285" s="2"/>
    </row>
    <row r="286" spans="6:10" ht="12.75">
      <c r="F286" s="184"/>
      <c r="G286" s="184"/>
      <c r="I286" s="1"/>
      <c r="J286" s="2"/>
    </row>
    <row r="287" spans="1:10" ht="12.75">
      <c r="A287" s="181">
        <f>A196</f>
        <v>36708</v>
      </c>
      <c r="B287" s="1" t="s">
        <v>38</v>
      </c>
      <c r="C287" s="1"/>
      <c r="D287" s="1"/>
      <c r="E287" s="1"/>
      <c r="F287" s="183">
        <f>I196</f>
        <v>0</v>
      </c>
      <c r="G287" s="183">
        <f>G283+F287</f>
        <v>1000000</v>
      </c>
      <c r="I287" s="1"/>
      <c r="J287" s="2"/>
    </row>
    <row r="288" spans="2:10" ht="12.75">
      <c r="B288" s="1" t="s">
        <v>39</v>
      </c>
      <c r="D288" s="1"/>
      <c r="E288" s="1"/>
      <c r="F288" s="185">
        <f>-F287</f>
        <v>0</v>
      </c>
      <c r="G288" s="185">
        <f>G284+F288</f>
        <v>-1000000</v>
      </c>
      <c r="I288" s="1"/>
      <c r="J288" s="2"/>
    </row>
    <row r="289" spans="2:10" ht="12.75">
      <c r="B289" s="14" t="s">
        <v>40</v>
      </c>
      <c r="H289" s="9"/>
      <c r="I289" s="9"/>
      <c r="J289" s="10"/>
    </row>
    <row r="290" spans="2:10" ht="12.75">
      <c r="B290" s="14"/>
      <c r="H290" s="9"/>
      <c r="I290" s="9"/>
      <c r="J290" s="10"/>
    </row>
    <row r="291" spans="1:10" ht="13.5" thickBot="1">
      <c r="A291" s="18"/>
      <c r="B291" s="19"/>
      <c r="C291" s="18"/>
      <c r="D291" s="18"/>
      <c r="E291" s="18"/>
      <c r="F291" s="18"/>
      <c r="G291" s="18"/>
      <c r="H291" s="20"/>
      <c r="I291" s="51"/>
      <c r="J291" s="50"/>
    </row>
    <row r="292" spans="6:7" ht="13.5" thickTop="1">
      <c r="F292" s="215" t="s">
        <v>36</v>
      </c>
      <c r="G292" s="219"/>
    </row>
    <row r="293" spans="1:7" ht="13.5" thickBot="1">
      <c r="A293" s="25"/>
      <c r="B293" s="25"/>
      <c r="C293" s="23"/>
      <c r="D293" s="25"/>
      <c r="E293" s="27"/>
      <c r="F293" s="216" t="s">
        <v>124</v>
      </c>
      <c r="G293" s="218" t="s">
        <v>37</v>
      </c>
    </row>
    <row r="294" spans="1:8" ht="13.5" thickTop="1">
      <c r="A294" s="187">
        <f>A197</f>
        <v>36799</v>
      </c>
      <c r="B294" s="30" t="s">
        <v>59</v>
      </c>
      <c r="C294" s="21"/>
      <c r="D294" s="21"/>
      <c r="E294" s="21"/>
      <c r="F294" s="183">
        <f>-C$180*(B$180/4)</f>
        <v>16025.000000000002</v>
      </c>
      <c r="G294" s="183">
        <f>G290+F294</f>
        <v>16025.000000000002</v>
      </c>
      <c r="H294" s="220">
        <f>A294</f>
        <v>36799</v>
      </c>
    </row>
    <row r="295" spans="1:7" ht="12.75">
      <c r="A295" s="21"/>
      <c r="B295" s="1" t="s">
        <v>38</v>
      </c>
      <c r="C295" s="21"/>
      <c r="D295" s="21"/>
      <c r="E295" s="21"/>
      <c r="F295" s="183">
        <f>-F294</f>
        <v>-16025.000000000002</v>
      </c>
      <c r="G295" s="183">
        <f>G287+F295</f>
        <v>983975</v>
      </c>
    </row>
    <row r="296" spans="1:7" ht="12.75">
      <c r="A296" s="21"/>
      <c r="B296" s="22" t="s">
        <v>331</v>
      </c>
      <c r="C296" s="21"/>
      <c r="D296" s="21"/>
      <c r="E296" s="21"/>
      <c r="F296" s="183"/>
      <c r="G296" s="183"/>
    </row>
    <row r="297" spans="1:7" ht="12.75">
      <c r="A297" s="21"/>
      <c r="B297" s="22"/>
      <c r="C297" s="21"/>
      <c r="D297" s="21"/>
      <c r="E297" s="21"/>
      <c r="F297" s="183"/>
      <c r="G297" s="183"/>
    </row>
    <row r="298" spans="1:8" ht="12.75">
      <c r="A298" s="187">
        <f>A294</f>
        <v>36799</v>
      </c>
      <c r="B298" s="30" t="s">
        <v>59</v>
      </c>
      <c r="C298" s="21"/>
      <c r="D298" s="21"/>
      <c r="E298" s="21"/>
      <c r="F298" s="183">
        <f>-H196</f>
        <v>0</v>
      </c>
      <c r="G298" s="183">
        <f>F298+G294</f>
        <v>16025.000000000002</v>
      </c>
      <c r="H298" s="220">
        <f>H294</f>
        <v>36799</v>
      </c>
    </row>
    <row r="299" spans="1:7" ht="12.75">
      <c r="A299" s="21"/>
      <c r="B299" s="1" t="s">
        <v>38</v>
      </c>
      <c r="C299" s="21"/>
      <c r="D299" s="21"/>
      <c r="E299" s="21"/>
      <c r="F299" s="183">
        <f>-F298</f>
        <v>0</v>
      </c>
      <c r="G299" s="183">
        <f>F299+G295</f>
        <v>983975</v>
      </c>
    </row>
    <row r="300" spans="1:7" ht="12.75">
      <c r="A300" s="21"/>
      <c r="B300" s="22" t="s">
        <v>307</v>
      </c>
      <c r="C300" s="21"/>
      <c r="D300" s="21"/>
      <c r="E300" s="21"/>
      <c r="F300" s="183"/>
      <c r="G300" s="183"/>
    </row>
    <row r="301" spans="1:7" ht="12.75">
      <c r="A301" s="21"/>
      <c r="B301" s="22"/>
      <c r="C301" s="21"/>
      <c r="D301" s="3" t="s">
        <v>35</v>
      </c>
      <c r="E301" s="21"/>
      <c r="F301" s="183"/>
      <c r="G301" s="183"/>
    </row>
    <row r="302" spans="1:8" ht="12.75">
      <c r="A302" s="187">
        <f>A294</f>
        <v>36799</v>
      </c>
      <c r="B302" s="30" t="s">
        <v>320</v>
      </c>
      <c r="C302" s="21"/>
      <c r="D302" s="21"/>
      <c r="E302" s="21"/>
      <c r="F302" s="183">
        <f>G302</f>
        <v>1150.1064003270585</v>
      </c>
      <c r="G302" s="183">
        <f>C181-C$180</f>
        <v>1150.1064003270585</v>
      </c>
      <c r="H302" s="220">
        <f>H294</f>
        <v>36799</v>
      </c>
    </row>
    <row r="303" spans="2:7" ht="12.75">
      <c r="B303" s="1" t="s">
        <v>39</v>
      </c>
      <c r="C303" s="21"/>
      <c r="D303" s="21"/>
      <c r="E303" s="21"/>
      <c r="F303" s="183">
        <f>G303</f>
        <v>-1150.1064003270483</v>
      </c>
      <c r="G303" s="183">
        <f>G216</f>
        <v>-1150.1064003270483</v>
      </c>
    </row>
    <row r="304" spans="2:7" ht="12.75">
      <c r="B304" s="1" t="s">
        <v>336</v>
      </c>
      <c r="C304" s="21"/>
      <c r="D304" s="21"/>
      <c r="E304" s="21"/>
      <c r="F304" s="183">
        <v>0</v>
      </c>
      <c r="G304" s="183">
        <f>F304</f>
        <v>0</v>
      </c>
    </row>
    <row r="305" spans="2:7" ht="12.75">
      <c r="B305" s="22" t="s">
        <v>332</v>
      </c>
      <c r="C305" s="21"/>
      <c r="D305" s="21"/>
      <c r="E305" s="21"/>
      <c r="F305" s="183"/>
      <c r="G305" s="183"/>
    </row>
    <row r="306" spans="2:7" ht="12.75">
      <c r="B306" s="31"/>
      <c r="C306" s="1"/>
      <c r="D306" s="1"/>
      <c r="E306" s="1"/>
      <c r="F306" s="183"/>
      <c r="G306" s="183"/>
    </row>
    <row r="307" spans="1:8" ht="12.75">
      <c r="A307" s="187">
        <f>A294</f>
        <v>36799</v>
      </c>
      <c r="B307" s="1" t="s">
        <v>50</v>
      </c>
      <c r="C307" s="1"/>
      <c r="D307" s="1"/>
      <c r="E307" s="1"/>
      <c r="F307" s="183">
        <f>-F308</f>
        <v>16025.000000000002</v>
      </c>
      <c r="G307" s="183">
        <f>F307</f>
        <v>16025.000000000002</v>
      </c>
      <c r="H307" s="220">
        <f>H294</f>
        <v>36799</v>
      </c>
    </row>
    <row r="308" spans="2:7" ht="12.75">
      <c r="B308" s="1" t="s">
        <v>59</v>
      </c>
      <c r="C308" s="1"/>
      <c r="D308" s="1"/>
      <c r="E308" s="1"/>
      <c r="F308" s="183">
        <f>-G298</f>
        <v>-16025.000000000002</v>
      </c>
      <c r="G308" s="183">
        <f>G298+F308</f>
        <v>0</v>
      </c>
    </row>
    <row r="309" spans="2:7" ht="12.75">
      <c r="B309" s="14" t="s">
        <v>60</v>
      </c>
      <c r="C309" s="1"/>
      <c r="D309" s="1"/>
      <c r="E309" s="1"/>
      <c r="F309" s="185"/>
      <c r="G309" s="185"/>
    </row>
    <row r="310" spans="6:8" ht="12.75">
      <c r="F310" s="12"/>
      <c r="G310" s="12"/>
      <c r="H310" s="16"/>
    </row>
    <row r="311" spans="1:8" ht="13.5" thickBot="1">
      <c r="A311" s="18"/>
      <c r="B311" s="19"/>
      <c r="C311" s="18"/>
      <c r="D311" s="18"/>
      <c r="E311" s="18"/>
      <c r="F311" s="18"/>
      <c r="G311" s="18"/>
      <c r="H311" s="20"/>
    </row>
    <row r="312" spans="6:7" ht="13.5" thickTop="1">
      <c r="F312" s="215" t="s">
        <v>36</v>
      </c>
      <c r="G312" s="217"/>
    </row>
    <row r="313" spans="1:7" ht="13.5" thickBot="1">
      <c r="A313" s="25"/>
      <c r="B313" s="25"/>
      <c r="C313" s="23"/>
      <c r="D313" s="25"/>
      <c r="E313" s="27"/>
      <c r="F313" s="216" t="s">
        <v>124</v>
      </c>
      <c r="G313" s="218" t="s">
        <v>37</v>
      </c>
    </row>
    <row r="314" spans="1:8" ht="13.5" thickTop="1">
      <c r="A314" s="214">
        <f>A198</f>
        <v>36891</v>
      </c>
      <c r="B314" s="30" t="s">
        <v>59</v>
      </c>
      <c r="C314" s="21"/>
      <c r="D314" s="21"/>
      <c r="E314" s="21"/>
      <c r="F314" s="183">
        <f>-C$180*(B$180/4)</f>
        <v>16025.000000000002</v>
      </c>
      <c r="G314" s="183">
        <f>F314</f>
        <v>16025.000000000002</v>
      </c>
      <c r="H314" s="221">
        <f>A314</f>
        <v>36891</v>
      </c>
    </row>
    <row r="315" spans="1:7" ht="12.75">
      <c r="A315" s="21"/>
      <c r="B315" s="1" t="s">
        <v>38</v>
      </c>
      <c r="C315" s="21"/>
      <c r="D315" s="21"/>
      <c r="E315" s="21"/>
      <c r="F315" s="183">
        <f>-F314</f>
        <v>-16025.000000000002</v>
      </c>
      <c r="G315" s="183">
        <f>F315+G299</f>
        <v>967950</v>
      </c>
    </row>
    <row r="316" spans="1:7" ht="12.75">
      <c r="A316" s="21"/>
      <c r="B316" s="22" t="s">
        <v>331</v>
      </c>
      <c r="C316" s="21"/>
      <c r="D316" s="21"/>
      <c r="E316" s="21"/>
      <c r="F316" s="183"/>
      <c r="G316" s="183"/>
    </row>
    <row r="317" spans="1:7" ht="12.75">
      <c r="A317" s="21"/>
      <c r="B317" s="22"/>
      <c r="C317" s="21"/>
      <c r="D317" s="21"/>
      <c r="E317" s="21"/>
      <c r="F317" s="183"/>
      <c r="G317" s="183"/>
    </row>
    <row r="318" spans="1:8" ht="12.75">
      <c r="A318" s="214">
        <f>A314</f>
        <v>36891</v>
      </c>
      <c r="B318" s="30" t="s">
        <v>59</v>
      </c>
      <c r="C318" s="21"/>
      <c r="D318" s="21"/>
      <c r="E318" s="21"/>
      <c r="F318" s="183">
        <f>-H197</f>
        <v>174.99999999999807</v>
      </c>
      <c r="G318" s="183">
        <f>F318+G314</f>
        <v>16200</v>
      </c>
      <c r="H318" s="221">
        <f>H314</f>
        <v>36891</v>
      </c>
    </row>
    <row r="319" spans="1:7" ht="12.75">
      <c r="A319" s="21"/>
      <c r="B319" s="1" t="s">
        <v>38</v>
      </c>
      <c r="C319" s="21"/>
      <c r="D319" s="21"/>
      <c r="E319" s="21"/>
      <c r="F319" s="183">
        <f>-F318</f>
        <v>-174.99999999999807</v>
      </c>
      <c r="G319" s="183">
        <f>F319+G315</f>
        <v>967775</v>
      </c>
    </row>
    <row r="320" spans="1:7" ht="12.75">
      <c r="A320" s="21"/>
      <c r="B320" s="22" t="s">
        <v>307</v>
      </c>
      <c r="C320" s="21"/>
      <c r="D320" s="21"/>
      <c r="E320" s="21"/>
      <c r="F320" s="183"/>
      <c r="G320" s="183"/>
    </row>
    <row r="321" spans="1:7" ht="12.75">
      <c r="A321" s="21"/>
      <c r="B321" s="22"/>
      <c r="C321" s="21"/>
      <c r="D321" s="3" t="s">
        <v>35</v>
      </c>
      <c r="E321" s="21"/>
      <c r="F321" s="183"/>
      <c r="G321" s="183"/>
    </row>
    <row r="322" spans="1:8" ht="12.75">
      <c r="A322" s="214">
        <f>A314</f>
        <v>36891</v>
      </c>
      <c r="B322" s="30" t="s">
        <v>320</v>
      </c>
      <c r="C322" s="21"/>
      <c r="D322" s="21"/>
      <c r="E322" s="21"/>
      <c r="F322" s="183">
        <f>G322-G302</f>
        <v>-1150.1064003270585</v>
      </c>
      <c r="G322" s="183">
        <f>C182-C$180</f>
        <v>0</v>
      </c>
      <c r="H322" s="221">
        <f>H314</f>
        <v>36891</v>
      </c>
    </row>
    <row r="323" spans="2:7" ht="12.75">
      <c r="B323" s="1" t="s">
        <v>39</v>
      </c>
      <c r="C323" s="21"/>
      <c r="D323" s="21"/>
      <c r="E323" s="21"/>
      <c r="F323" s="183">
        <f>G323-G216</f>
        <v>1150.1064003270483</v>
      </c>
      <c r="G323" s="183">
        <f>G217</f>
        <v>0</v>
      </c>
    </row>
    <row r="324" spans="2:7" ht="12.75">
      <c r="B324" s="1" t="s">
        <v>336</v>
      </c>
      <c r="C324" s="21"/>
      <c r="D324" s="21"/>
      <c r="E324" s="21"/>
      <c r="F324" s="183">
        <v>0</v>
      </c>
      <c r="G324" s="183">
        <f>F324</f>
        <v>0</v>
      </c>
    </row>
    <row r="325" spans="2:7" ht="12.75">
      <c r="B325" s="22" t="s">
        <v>332</v>
      </c>
      <c r="C325" s="21"/>
      <c r="D325" s="21"/>
      <c r="E325" s="21"/>
      <c r="F325" s="183"/>
      <c r="G325" s="183"/>
    </row>
    <row r="326" spans="2:7" ht="12.75">
      <c r="B326" s="31"/>
      <c r="C326" s="1"/>
      <c r="D326" s="1"/>
      <c r="E326" s="1"/>
      <c r="F326" s="183"/>
      <c r="G326" s="183"/>
    </row>
    <row r="327" spans="1:8" ht="12.75">
      <c r="A327" s="214">
        <f>A314</f>
        <v>36891</v>
      </c>
      <c r="B327" s="1" t="s">
        <v>50</v>
      </c>
      <c r="C327" s="1"/>
      <c r="D327" s="1"/>
      <c r="E327" s="1"/>
      <c r="F327" s="183">
        <f>-F328</f>
        <v>16200</v>
      </c>
      <c r="G327" s="183">
        <f>F327+G307</f>
        <v>32225</v>
      </c>
      <c r="H327" s="221">
        <f>H314</f>
        <v>36891</v>
      </c>
    </row>
    <row r="328" spans="2:7" ht="12.75">
      <c r="B328" s="1" t="s">
        <v>59</v>
      </c>
      <c r="C328" s="1"/>
      <c r="D328" s="1"/>
      <c r="E328" s="1"/>
      <c r="F328" s="183">
        <f>-G318</f>
        <v>-16200</v>
      </c>
      <c r="G328" s="183">
        <f>G318+F328</f>
        <v>0</v>
      </c>
    </row>
    <row r="329" spans="2:7" ht="12.75">
      <c r="B329" s="14" t="s">
        <v>60</v>
      </c>
      <c r="C329" s="1"/>
      <c r="D329" s="1"/>
      <c r="E329" s="1"/>
      <c r="F329" s="185"/>
      <c r="G329" s="185"/>
    </row>
    <row r="330" spans="6:8" ht="12.75">
      <c r="F330" s="12"/>
      <c r="G330" s="12"/>
      <c r="H330" s="16"/>
    </row>
    <row r="331" spans="1:8" ht="13.5" thickBot="1">
      <c r="A331" s="18"/>
      <c r="B331" s="19"/>
      <c r="C331" s="18"/>
      <c r="D331" s="18"/>
      <c r="E331" s="18"/>
      <c r="F331" s="18"/>
      <c r="G331" s="18"/>
      <c r="H331" s="20"/>
    </row>
    <row r="332" spans="6:7" ht="13.5" thickTop="1">
      <c r="F332" s="215" t="s">
        <v>36</v>
      </c>
      <c r="G332" s="223"/>
    </row>
    <row r="333" spans="1:7" ht="13.5" thickBot="1">
      <c r="A333" s="25"/>
      <c r="B333" s="25"/>
      <c r="C333" s="23"/>
      <c r="D333" s="25"/>
      <c r="E333" s="27"/>
      <c r="F333" s="216" t="s">
        <v>124</v>
      </c>
      <c r="G333" s="218" t="s">
        <v>37</v>
      </c>
    </row>
    <row r="334" spans="1:8" ht="13.5" thickTop="1">
      <c r="A334" s="222">
        <f>A199</f>
        <v>36981</v>
      </c>
      <c r="B334" s="30" t="s">
        <v>59</v>
      </c>
      <c r="C334" s="21"/>
      <c r="D334" s="21"/>
      <c r="E334" s="21"/>
      <c r="F334" s="183">
        <f>-C$180*(B$180/4)</f>
        <v>16025.000000000002</v>
      </c>
      <c r="G334" s="183">
        <f>F334</f>
        <v>16025.000000000002</v>
      </c>
      <c r="H334" s="224">
        <f>A334</f>
        <v>36981</v>
      </c>
    </row>
    <row r="335" spans="1:7" ht="12.75">
      <c r="A335" s="21"/>
      <c r="B335" s="1" t="s">
        <v>38</v>
      </c>
      <c r="C335" s="21"/>
      <c r="D335" s="21"/>
      <c r="E335" s="21"/>
      <c r="F335" s="183">
        <f>-F334</f>
        <v>-16025.000000000002</v>
      </c>
      <c r="G335" s="183">
        <f>F335+G319</f>
        <v>951750</v>
      </c>
    </row>
    <row r="336" spans="1:7" ht="12.75">
      <c r="A336" s="21"/>
      <c r="B336" s="22" t="s">
        <v>331</v>
      </c>
      <c r="C336" s="21"/>
      <c r="D336" s="21"/>
      <c r="E336" s="21"/>
      <c r="F336" s="183"/>
      <c r="G336" s="183"/>
    </row>
    <row r="337" spans="1:7" ht="12.75">
      <c r="A337" s="21"/>
      <c r="B337" s="22"/>
      <c r="C337" s="21"/>
      <c r="D337" s="21"/>
      <c r="E337" s="21"/>
      <c r="F337" s="183"/>
      <c r="G337" s="183"/>
    </row>
    <row r="338" spans="1:8" ht="12.75">
      <c r="A338" s="222">
        <f>A334</f>
        <v>36981</v>
      </c>
      <c r="B338" s="30" t="s">
        <v>59</v>
      </c>
      <c r="C338" s="21"/>
      <c r="D338" s="21"/>
      <c r="E338" s="21"/>
      <c r="F338" s="183">
        <f>-H198</f>
        <v>0</v>
      </c>
      <c r="G338" s="183">
        <f>F338+G334</f>
        <v>16025.000000000002</v>
      </c>
      <c r="H338" s="224">
        <f>H334</f>
        <v>36981</v>
      </c>
    </row>
    <row r="339" spans="1:7" ht="12.75">
      <c r="A339" s="21"/>
      <c r="B339" s="1" t="s">
        <v>38</v>
      </c>
      <c r="C339" s="21"/>
      <c r="D339" s="21"/>
      <c r="E339" s="21"/>
      <c r="F339" s="183">
        <f>-F338</f>
        <v>0</v>
      </c>
      <c r="G339" s="183">
        <f>F339+G335</f>
        <v>951750</v>
      </c>
    </row>
    <row r="340" spans="1:7" ht="12.75">
      <c r="A340" s="21"/>
      <c r="B340" s="22" t="s">
        <v>307</v>
      </c>
      <c r="C340" s="21"/>
      <c r="D340" s="21"/>
      <c r="E340" s="21"/>
      <c r="F340" s="183"/>
      <c r="G340" s="183"/>
    </row>
    <row r="341" spans="1:7" ht="12.75">
      <c r="A341" s="21"/>
      <c r="B341" s="22"/>
      <c r="C341" s="21"/>
      <c r="D341" s="3" t="s">
        <v>35</v>
      </c>
      <c r="E341" s="21"/>
      <c r="F341" s="183"/>
      <c r="G341" s="183"/>
    </row>
    <row r="342" spans="1:8" ht="12.75">
      <c r="A342" s="222">
        <f>A334</f>
        <v>36981</v>
      </c>
      <c r="B342" s="30" t="s">
        <v>320</v>
      </c>
      <c r="C342" s="21"/>
      <c r="D342" s="21"/>
      <c r="E342" s="21"/>
      <c r="F342" s="183">
        <f>G342-G322</f>
        <v>-1072.8749359284993</v>
      </c>
      <c r="G342" s="183">
        <f>C183-C$180</f>
        <v>-1072.8749359284993</v>
      </c>
      <c r="H342" s="224">
        <f>H334</f>
        <v>36981</v>
      </c>
    </row>
    <row r="343" spans="2:7" ht="12.75">
      <c r="B343" s="1" t="s">
        <v>39</v>
      </c>
      <c r="C343" s="21"/>
      <c r="D343" s="21"/>
      <c r="E343" s="21"/>
      <c r="F343" s="183">
        <f>G343-G237</f>
        <v>1072.8749359285227</v>
      </c>
      <c r="G343" s="183">
        <f>G218</f>
        <v>1072.8749359285227</v>
      </c>
    </row>
    <row r="344" spans="2:7" ht="12.75">
      <c r="B344" s="1" t="s">
        <v>336</v>
      </c>
      <c r="C344" s="21"/>
      <c r="D344" s="21"/>
      <c r="E344" s="21"/>
      <c r="F344" s="183">
        <v>0</v>
      </c>
      <c r="G344" s="183">
        <f>F344</f>
        <v>0</v>
      </c>
    </row>
    <row r="345" spans="2:7" ht="12.75">
      <c r="B345" s="22" t="s">
        <v>332</v>
      </c>
      <c r="C345" s="21"/>
      <c r="D345" s="21"/>
      <c r="E345" s="21"/>
      <c r="F345" s="183"/>
      <c r="G345" s="183"/>
    </row>
    <row r="346" spans="2:7" ht="12.75">
      <c r="B346" s="31"/>
      <c r="C346" s="1"/>
      <c r="D346" s="1"/>
      <c r="E346" s="1"/>
      <c r="F346" s="183"/>
      <c r="G346" s="183"/>
    </row>
    <row r="347" spans="1:8" ht="12.75">
      <c r="A347" s="222">
        <f>A334</f>
        <v>36981</v>
      </c>
      <c r="B347" s="1" t="s">
        <v>50</v>
      </c>
      <c r="C347" s="1"/>
      <c r="D347" s="1"/>
      <c r="E347" s="1"/>
      <c r="F347" s="183">
        <f>-F348</f>
        <v>16025.000000000002</v>
      </c>
      <c r="G347" s="183">
        <f>F347+G327</f>
        <v>48250</v>
      </c>
      <c r="H347" s="224">
        <f>H334</f>
        <v>36981</v>
      </c>
    </row>
    <row r="348" spans="2:7" ht="12.75">
      <c r="B348" s="1" t="s">
        <v>59</v>
      </c>
      <c r="C348" s="1"/>
      <c r="D348" s="1"/>
      <c r="E348" s="1"/>
      <c r="F348" s="183">
        <f>-G338</f>
        <v>-16025.000000000002</v>
      </c>
      <c r="G348" s="183">
        <f>G338+F348</f>
        <v>0</v>
      </c>
    </row>
    <row r="349" spans="2:7" ht="12.75">
      <c r="B349" s="14" t="s">
        <v>60</v>
      </c>
      <c r="C349" s="1"/>
      <c r="D349" s="1"/>
      <c r="E349" s="1"/>
      <c r="F349" s="185"/>
      <c r="G349" s="185"/>
    </row>
    <row r="350" spans="6:8" ht="12.75">
      <c r="F350" s="12"/>
      <c r="G350" s="12"/>
      <c r="H350" s="16"/>
    </row>
    <row r="351" spans="1:8" ht="13.5" thickBot="1">
      <c r="A351" s="18"/>
      <c r="B351" s="19"/>
      <c r="C351" s="18"/>
      <c r="D351" s="18"/>
      <c r="E351" s="18"/>
      <c r="F351" s="18"/>
      <c r="G351" s="18"/>
      <c r="H351" s="20"/>
    </row>
    <row r="352" spans="6:7" ht="13.5" thickTop="1">
      <c r="F352" s="215" t="s">
        <v>36</v>
      </c>
      <c r="G352" s="227"/>
    </row>
    <row r="353" spans="1:7" ht="13.5" thickBot="1">
      <c r="A353" s="25"/>
      <c r="B353" s="25"/>
      <c r="C353" s="23"/>
      <c r="D353" s="25"/>
      <c r="E353" s="27"/>
      <c r="F353" s="216" t="s">
        <v>124</v>
      </c>
      <c r="G353" s="218" t="s">
        <v>37</v>
      </c>
    </row>
    <row r="354" spans="1:8" ht="13.5" thickTop="1">
      <c r="A354" s="225">
        <f>A200</f>
        <v>37072</v>
      </c>
      <c r="B354" s="30" t="s">
        <v>59</v>
      </c>
      <c r="C354" s="21"/>
      <c r="D354" s="21"/>
      <c r="E354" s="21"/>
      <c r="F354" s="183">
        <f>-C$180*(B$180/4)</f>
        <v>16025.000000000002</v>
      </c>
      <c r="G354" s="183">
        <f>F354</f>
        <v>16025.000000000002</v>
      </c>
      <c r="H354" s="226">
        <f>A354</f>
        <v>37072</v>
      </c>
    </row>
    <row r="355" spans="1:7" ht="12.75">
      <c r="A355" s="21"/>
      <c r="B355" s="1" t="s">
        <v>38</v>
      </c>
      <c r="C355" s="21"/>
      <c r="D355" s="21"/>
      <c r="E355" s="21"/>
      <c r="F355" s="183">
        <f>-F354</f>
        <v>-16025.000000000002</v>
      </c>
      <c r="G355" s="183">
        <f>F355+G339</f>
        <v>935725</v>
      </c>
    </row>
    <row r="356" spans="1:7" ht="12.75">
      <c r="A356" s="21"/>
      <c r="B356" s="22" t="s">
        <v>331</v>
      </c>
      <c r="C356" s="21"/>
      <c r="D356" s="21"/>
      <c r="E356" s="21"/>
      <c r="F356" s="183"/>
      <c r="G356" s="183"/>
    </row>
    <row r="357" spans="1:7" ht="12.75">
      <c r="A357" s="21"/>
      <c r="B357" s="22"/>
      <c r="C357" s="21"/>
      <c r="D357" s="21"/>
      <c r="E357" s="21"/>
      <c r="F357" s="183"/>
      <c r="G357" s="183"/>
    </row>
    <row r="358" spans="1:8" ht="12.75">
      <c r="A358" s="225">
        <f>A354</f>
        <v>37072</v>
      </c>
      <c r="B358" s="30" t="s">
        <v>59</v>
      </c>
      <c r="C358" s="21"/>
      <c r="D358" s="21"/>
      <c r="E358" s="21"/>
      <c r="F358" s="183">
        <f>-H199</f>
        <v>-224.99999999999952</v>
      </c>
      <c r="G358" s="183">
        <f>F358+G354</f>
        <v>15800.000000000002</v>
      </c>
      <c r="H358" s="226">
        <f>H354</f>
        <v>37072</v>
      </c>
    </row>
    <row r="359" spans="1:7" ht="12.75">
      <c r="A359" s="21"/>
      <c r="B359" s="1" t="s">
        <v>38</v>
      </c>
      <c r="C359" s="21"/>
      <c r="D359" s="21"/>
      <c r="E359" s="21"/>
      <c r="F359" s="183">
        <f>-F358</f>
        <v>224.99999999999952</v>
      </c>
      <c r="G359" s="183">
        <f>F359+G355</f>
        <v>935950</v>
      </c>
    </row>
    <row r="360" spans="1:7" ht="12.75">
      <c r="A360" s="21"/>
      <c r="B360" s="22" t="s">
        <v>307</v>
      </c>
      <c r="C360" s="21"/>
      <c r="D360" s="21"/>
      <c r="E360" s="21"/>
      <c r="F360" s="183"/>
      <c r="G360" s="183"/>
    </row>
    <row r="361" spans="1:7" ht="12.75">
      <c r="A361" s="21"/>
      <c r="B361" s="22"/>
      <c r="C361" s="21"/>
      <c r="D361" s="3" t="s">
        <v>35</v>
      </c>
      <c r="E361" s="21"/>
      <c r="F361" s="183"/>
      <c r="G361" s="183"/>
    </row>
    <row r="362" spans="1:8" ht="12.75">
      <c r="A362" s="225">
        <f>A354</f>
        <v>37072</v>
      </c>
      <c r="B362" s="30" t="s">
        <v>320</v>
      </c>
      <c r="C362" s="21"/>
      <c r="D362" s="21"/>
      <c r="E362" s="21"/>
      <c r="F362" s="183">
        <f>G362-G342</f>
        <v>12517.277956344886</v>
      </c>
      <c r="G362" s="183">
        <f>C184-C$180</f>
        <v>11444.403020416386</v>
      </c>
      <c r="H362" s="226">
        <f>H354</f>
        <v>37072</v>
      </c>
    </row>
    <row r="363" spans="2:7" ht="12.75">
      <c r="B363" s="1" t="s">
        <v>39</v>
      </c>
      <c r="C363" s="21"/>
      <c r="D363" s="21"/>
      <c r="E363" s="21"/>
      <c r="F363" s="183">
        <f>G363-G343</f>
        <v>-12517.277956344951</v>
      </c>
      <c r="G363" s="183">
        <f>G219</f>
        <v>-11444.403020416428</v>
      </c>
    </row>
    <row r="364" spans="2:7" ht="12.75">
      <c r="B364" s="1" t="s">
        <v>336</v>
      </c>
      <c r="C364" s="21"/>
      <c r="D364" s="21"/>
      <c r="E364" s="21"/>
      <c r="F364" s="183">
        <v>0</v>
      </c>
      <c r="G364" s="183">
        <f>F364</f>
        <v>0</v>
      </c>
    </row>
    <row r="365" spans="2:7" ht="12.75">
      <c r="B365" s="22" t="s">
        <v>332</v>
      </c>
      <c r="C365" s="21"/>
      <c r="D365" s="21"/>
      <c r="E365" s="21"/>
      <c r="F365" s="183"/>
      <c r="G365" s="183"/>
    </row>
    <row r="366" spans="2:7" ht="12.75">
      <c r="B366" s="31"/>
      <c r="C366" s="1"/>
      <c r="D366" s="1"/>
      <c r="E366" s="1"/>
      <c r="F366" s="183"/>
      <c r="G366" s="183"/>
    </row>
    <row r="367" spans="1:8" ht="12.75">
      <c r="A367" s="225">
        <f>A354</f>
        <v>37072</v>
      </c>
      <c r="B367" s="1" t="s">
        <v>50</v>
      </c>
      <c r="C367" s="1"/>
      <c r="D367" s="1"/>
      <c r="E367" s="1"/>
      <c r="F367" s="183">
        <f>-F368</f>
        <v>15800.000000000002</v>
      </c>
      <c r="G367" s="183">
        <f>F367+G347</f>
        <v>64050</v>
      </c>
      <c r="H367" s="226">
        <f>H354</f>
        <v>37072</v>
      </c>
    </row>
    <row r="368" spans="2:7" ht="12.75">
      <c r="B368" s="1" t="s">
        <v>59</v>
      </c>
      <c r="C368" s="1"/>
      <c r="D368" s="1"/>
      <c r="E368" s="1"/>
      <c r="F368" s="183">
        <f>-G358</f>
        <v>-15800.000000000002</v>
      </c>
      <c r="G368" s="183">
        <f>G358+F368</f>
        <v>0</v>
      </c>
    </row>
    <row r="369" spans="2:7" ht="12.75">
      <c r="B369" s="14" t="s">
        <v>60</v>
      </c>
      <c r="C369" s="1"/>
      <c r="D369" s="1"/>
      <c r="E369" s="1"/>
      <c r="F369" s="185"/>
      <c r="G369" s="185"/>
    </row>
    <row r="370" spans="2:7" ht="12.75">
      <c r="B370" s="14"/>
      <c r="C370" s="1"/>
      <c r="D370" s="1"/>
      <c r="E370" s="1"/>
      <c r="F370" s="228"/>
      <c r="G370" s="228"/>
    </row>
    <row r="371" spans="1:8" ht="13.5" thickBot="1">
      <c r="A371" s="18"/>
      <c r="B371" s="19"/>
      <c r="C371" s="18"/>
      <c r="D371" s="18"/>
      <c r="E371" s="18"/>
      <c r="F371" s="18"/>
      <c r="G371" s="18"/>
      <c r="H371" s="20"/>
    </row>
    <row r="372" spans="6:7" ht="13.5" thickTop="1">
      <c r="F372" s="215" t="s">
        <v>36</v>
      </c>
      <c r="G372" s="231"/>
    </row>
    <row r="373" spans="1:7" ht="13.5" thickBot="1">
      <c r="A373" s="25"/>
      <c r="B373" s="25"/>
      <c r="C373" s="23"/>
      <c r="D373" s="25"/>
      <c r="E373" s="27"/>
      <c r="F373" s="216" t="s">
        <v>124</v>
      </c>
      <c r="G373" s="218" t="s">
        <v>37</v>
      </c>
    </row>
    <row r="374" spans="1:8" ht="13.5" thickTop="1">
      <c r="A374" s="229">
        <f>A201</f>
        <v>37164</v>
      </c>
      <c r="B374" s="30" t="s">
        <v>59</v>
      </c>
      <c r="C374" s="21"/>
      <c r="D374" s="21"/>
      <c r="E374" s="21"/>
      <c r="F374" s="183">
        <f>-C$180*(B$180/4)</f>
        <v>16025.000000000002</v>
      </c>
      <c r="G374" s="183">
        <f>F374</f>
        <v>16025.000000000002</v>
      </c>
      <c r="H374" s="230">
        <f>A374</f>
        <v>37164</v>
      </c>
    </row>
    <row r="375" spans="1:7" ht="12.75">
      <c r="A375" s="21"/>
      <c r="B375" s="1" t="s">
        <v>38</v>
      </c>
      <c r="C375" s="21"/>
      <c r="D375" s="21"/>
      <c r="E375" s="21"/>
      <c r="F375" s="183">
        <f>-F374</f>
        <v>-16025.000000000002</v>
      </c>
      <c r="G375" s="183">
        <f>F375+G359</f>
        <v>919925</v>
      </c>
    </row>
    <row r="376" spans="1:7" ht="12.75">
      <c r="A376" s="21"/>
      <c r="B376" s="22" t="s">
        <v>331</v>
      </c>
      <c r="C376" s="21"/>
      <c r="D376" s="21"/>
      <c r="E376" s="21"/>
      <c r="F376" s="183"/>
      <c r="G376" s="183"/>
    </row>
    <row r="377" spans="1:7" ht="12.75">
      <c r="A377" s="21"/>
      <c r="B377" s="22"/>
      <c r="C377" s="21"/>
      <c r="D377" s="21"/>
      <c r="E377" s="21"/>
      <c r="F377" s="183"/>
      <c r="G377" s="183"/>
    </row>
    <row r="378" spans="1:8" ht="12.75">
      <c r="A378" s="229">
        <f>A374</f>
        <v>37164</v>
      </c>
      <c r="B378" s="30" t="s">
        <v>59</v>
      </c>
      <c r="C378" s="21"/>
      <c r="D378" s="21"/>
      <c r="E378" s="21"/>
      <c r="F378" s="183">
        <f>-H200</f>
        <v>2974.9999999999986</v>
      </c>
      <c r="G378" s="183">
        <f>F378+G374</f>
        <v>19000</v>
      </c>
      <c r="H378" s="230">
        <f>H374</f>
        <v>37164</v>
      </c>
    </row>
    <row r="379" spans="1:7" ht="12.75">
      <c r="A379" s="21"/>
      <c r="B379" s="1" t="s">
        <v>38</v>
      </c>
      <c r="C379" s="21"/>
      <c r="D379" s="21"/>
      <c r="E379" s="21"/>
      <c r="F379" s="183">
        <f>-F378</f>
        <v>-2974.9999999999986</v>
      </c>
      <c r="G379" s="183">
        <f>F379+G375</f>
        <v>916950</v>
      </c>
    </row>
    <row r="380" spans="1:7" ht="12.75">
      <c r="A380" s="21"/>
      <c r="B380" s="22" t="s">
        <v>307</v>
      </c>
      <c r="C380" s="21"/>
      <c r="D380" s="21"/>
      <c r="E380" s="21"/>
      <c r="F380" s="183"/>
      <c r="G380" s="183"/>
    </row>
    <row r="381" spans="1:7" ht="12.75">
      <c r="A381" s="21"/>
      <c r="B381" s="22"/>
      <c r="C381" s="21"/>
      <c r="D381" s="3" t="s">
        <v>35</v>
      </c>
      <c r="E381" s="21"/>
      <c r="F381" s="183"/>
      <c r="G381" s="183"/>
    </row>
    <row r="382" spans="1:8" ht="12.75">
      <c r="A382" s="229">
        <f>A374</f>
        <v>37164</v>
      </c>
      <c r="B382" s="30" t="s">
        <v>320</v>
      </c>
      <c r="C382" s="21"/>
      <c r="D382" s="21"/>
      <c r="E382" s="21"/>
      <c r="F382" s="183">
        <f>G382-G362</f>
        <v>-2058.530859595514</v>
      </c>
      <c r="G382" s="183">
        <f>C185-C$180</f>
        <v>9385.872160820873</v>
      </c>
      <c r="H382" s="230">
        <f>H374</f>
        <v>37164</v>
      </c>
    </row>
    <row r="383" spans="2:7" ht="12.75">
      <c r="B383" s="1" t="s">
        <v>39</v>
      </c>
      <c r="C383" s="21"/>
      <c r="D383" s="21"/>
      <c r="E383" s="21"/>
      <c r="F383" s="183">
        <f>G383-G363</f>
        <v>2053.4962222065806</v>
      </c>
      <c r="G383" s="183">
        <f>G220</f>
        <v>-9390.906798209848</v>
      </c>
    </row>
    <row r="384" spans="2:7" ht="12.75">
      <c r="B384" s="1" t="s">
        <v>336</v>
      </c>
      <c r="C384" s="21"/>
      <c r="D384" s="21"/>
      <c r="E384" s="21"/>
      <c r="F384" s="183">
        <v>0</v>
      </c>
      <c r="G384" s="183">
        <f>F384</f>
        <v>0</v>
      </c>
    </row>
    <row r="385" spans="2:7" ht="12.75">
      <c r="B385" s="22" t="s">
        <v>332</v>
      </c>
      <c r="C385" s="21"/>
      <c r="D385" s="21"/>
      <c r="E385" s="21"/>
      <c r="F385" s="183"/>
      <c r="G385" s="183"/>
    </row>
    <row r="386" spans="2:7" ht="12.75">
      <c r="B386" s="31"/>
      <c r="C386" s="1"/>
      <c r="D386" s="1"/>
      <c r="E386" s="1"/>
      <c r="F386" s="183"/>
      <c r="G386" s="183"/>
    </row>
    <row r="387" spans="1:8" ht="12.75">
      <c r="A387" s="229">
        <f>A374</f>
        <v>37164</v>
      </c>
      <c r="B387" s="1" t="s">
        <v>50</v>
      </c>
      <c r="C387" s="1"/>
      <c r="D387" s="1"/>
      <c r="E387" s="1"/>
      <c r="F387" s="183">
        <f>-F388</f>
        <v>19000</v>
      </c>
      <c r="G387" s="183">
        <f>F387+G367</f>
        <v>83050</v>
      </c>
      <c r="H387" s="230">
        <f>H374</f>
        <v>37164</v>
      </c>
    </row>
    <row r="388" spans="2:7" ht="12.75">
      <c r="B388" s="1" t="s">
        <v>59</v>
      </c>
      <c r="C388" s="1"/>
      <c r="D388" s="1"/>
      <c r="E388" s="1"/>
      <c r="F388" s="183">
        <f>-G378</f>
        <v>-19000</v>
      </c>
      <c r="G388" s="183">
        <f>G378+F388</f>
        <v>0</v>
      </c>
    </row>
    <row r="389" spans="2:7" ht="12.75">
      <c r="B389" s="1" t="s">
        <v>336</v>
      </c>
      <c r="C389" s="21"/>
      <c r="D389" s="21"/>
      <c r="E389" s="21"/>
      <c r="F389" s="183">
        <f>-G384</f>
        <v>0</v>
      </c>
      <c r="G389" s="183">
        <f>G384+F389</f>
        <v>0</v>
      </c>
    </row>
    <row r="390" spans="2:7" ht="12.75">
      <c r="B390" s="14" t="s">
        <v>60</v>
      </c>
      <c r="C390" s="1"/>
      <c r="D390" s="1"/>
      <c r="E390" s="1"/>
      <c r="F390" s="185"/>
      <c r="G390" s="185"/>
    </row>
    <row r="391" spans="2:7" ht="12.75">
      <c r="B391" s="14"/>
      <c r="C391" s="1"/>
      <c r="D391" s="1"/>
      <c r="E391" s="1"/>
      <c r="F391" s="228"/>
      <c r="G391" s="228"/>
    </row>
    <row r="392" spans="1:8" ht="13.5" thickBot="1">
      <c r="A392" s="18"/>
      <c r="B392" s="19"/>
      <c r="C392" s="18"/>
      <c r="D392" s="18"/>
      <c r="E392" s="18"/>
      <c r="F392" s="18"/>
      <c r="G392" s="18"/>
      <c r="H392" s="20"/>
    </row>
    <row r="393" spans="6:7" ht="13.5" thickTop="1">
      <c r="F393" s="215" t="s">
        <v>36</v>
      </c>
      <c r="G393" s="219"/>
    </row>
    <row r="394" spans="1:7" ht="13.5" thickBot="1">
      <c r="A394" s="25"/>
      <c r="B394" s="25"/>
      <c r="C394" s="23"/>
      <c r="D394" s="25"/>
      <c r="E394" s="27"/>
      <c r="F394" s="216" t="s">
        <v>124</v>
      </c>
      <c r="G394" s="218" t="s">
        <v>37</v>
      </c>
    </row>
    <row r="395" spans="1:8" ht="13.5" thickTop="1">
      <c r="A395" s="187">
        <f>A202</f>
        <v>37256</v>
      </c>
      <c r="B395" s="30" t="s">
        <v>59</v>
      </c>
      <c r="C395" s="21"/>
      <c r="D395" s="21"/>
      <c r="E395" s="21"/>
      <c r="F395" s="183">
        <f>-C$180*(B$180/4)</f>
        <v>16025.000000000002</v>
      </c>
      <c r="G395" s="183">
        <f>F395</f>
        <v>16025.000000000002</v>
      </c>
      <c r="H395" s="220">
        <f>A395</f>
        <v>37256</v>
      </c>
    </row>
    <row r="396" spans="1:7" ht="12.75">
      <c r="A396" s="21"/>
      <c r="B396" s="1" t="s">
        <v>38</v>
      </c>
      <c r="C396" s="21"/>
      <c r="D396" s="21"/>
      <c r="E396" s="21"/>
      <c r="F396" s="183">
        <f>-F395</f>
        <v>-16025.000000000002</v>
      </c>
      <c r="G396" s="183">
        <f>F396+G379</f>
        <v>900925</v>
      </c>
    </row>
    <row r="397" spans="1:7" ht="12.75">
      <c r="A397" s="21"/>
      <c r="B397" s="22" t="s">
        <v>331</v>
      </c>
      <c r="C397" s="21"/>
      <c r="D397" s="21"/>
      <c r="E397" s="21"/>
      <c r="F397" s="183"/>
      <c r="G397" s="183"/>
    </row>
    <row r="398" spans="1:7" ht="12.75">
      <c r="A398" s="21"/>
      <c r="B398" s="22"/>
      <c r="C398" s="21"/>
      <c r="D398" s="21"/>
      <c r="E398" s="21"/>
      <c r="F398" s="183"/>
      <c r="G398" s="183"/>
    </row>
    <row r="399" spans="1:8" ht="12.75">
      <c r="A399" s="187">
        <f>A395</f>
        <v>37256</v>
      </c>
      <c r="B399" s="30" t="s">
        <v>59</v>
      </c>
      <c r="C399" s="21"/>
      <c r="D399" s="21"/>
      <c r="E399" s="21"/>
      <c r="F399" s="183">
        <f>-H201</f>
        <v>3249.9999999999995</v>
      </c>
      <c r="G399" s="183">
        <f>F399+G395</f>
        <v>19275</v>
      </c>
      <c r="H399" s="220">
        <f>H395</f>
        <v>37256</v>
      </c>
    </row>
    <row r="400" spans="1:7" ht="12.75">
      <c r="A400" s="21"/>
      <c r="B400" s="1" t="s">
        <v>38</v>
      </c>
      <c r="C400" s="21"/>
      <c r="D400" s="21"/>
      <c r="E400" s="21"/>
      <c r="F400" s="183">
        <f>-F399</f>
        <v>-3249.9999999999995</v>
      </c>
      <c r="G400" s="183">
        <f>F400+G396</f>
        <v>897675</v>
      </c>
    </row>
    <row r="401" spans="1:7" ht="12.75">
      <c r="A401" s="21"/>
      <c r="B401" s="22" t="s">
        <v>307</v>
      </c>
      <c r="C401" s="21"/>
      <c r="D401" s="21"/>
      <c r="E401" s="21"/>
      <c r="F401" s="183"/>
      <c r="G401" s="183"/>
    </row>
    <row r="402" spans="1:7" ht="12.75">
      <c r="A402" s="21"/>
      <c r="B402" s="22"/>
      <c r="C402" s="21"/>
      <c r="D402" s="3" t="s">
        <v>35</v>
      </c>
      <c r="E402" s="21"/>
      <c r="F402" s="183"/>
      <c r="G402" s="183"/>
    </row>
    <row r="403" spans="1:8" ht="12.75">
      <c r="A403" s="187">
        <f>A395</f>
        <v>37256</v>
      </c>
      <c r="B403" s="30" t="s">
        <v>320</v>
      </c>
      <c r="C403" s="21"/>
      <c r="D403" s="21"/>
      <c r="E403" s="21"/>
      <c r="F403" s="183">
        <f>G403-G382</f>
        <v>-2531.825254205498</v>
      </c>
      <c r="G403" s="183">
        <f>C186-C$180</f>
        <v>6854.046906615375</v>
      </c>
      <c r="H403" s="220">
        <f>H395</f>
        <v>37256</v>
      </c>
    </row>
    <row r="404" spans="2:7" ht="12.75">
      <c r="B404" s="1" t="s">
        <v>39</v>
      </c>
      <c r="C404" s="21"/>
      <c r="D404" s="21"/>
      <c r="E404" s="21"/>
      <c r="F404" s="183">
        <f>G404-G383</f>
        <v>2539.624772151191</v>
      </c>
      <c r="G404" s="183">
        <f>G221</f>
        <v>-6851.282026058657</v>
      </c>
    </row>
    <row r="405" spans="2:7" ht="12.75">
      <c r="B405" s="22" t="s">
        <v>332</v>
      </c>
      <c r="C405" s="21"/>
      <c r="D405" s="21"/>
      <c r="E405" s="21"/>
      <c r="F405" s="183"/>
      <c r="G405" s="183"/>
    </row>
    <row r="406" spans="2:7" ht="12.75">
      <c r="B406" s="31"/>
      <c r="C406" s="1"/>
      <c r="D406" s="1"/>
      <c r="E406" s="1"/>
      <c r="F406" s="183"/>
      <c r="G406" s="183"/>
    </row>
    <row r="407" spans="1:8" ht="12.75">
      <c r="A407" s="187">
        <f>A395</f>
        <v>37256</v>
      </c>
      <c r="B407" s="1" t="s">
        <v>50</v>
      </c>
      <c r="C407" s="1"/>
      <c r="D407" s="1"/>
      <c r="E407" s="1"/>
      <c r="F407" s="183">
        <f>-F408</f>
        <v>19275</v>
      </c>
      <c r="G407" s="183">
        <f>F407+G387</f>
        <v>102325</v>
      </c>
      <c r="H407" s="220">
        <f>H395</f>
        <v>37256</v>
      </c>
    </row>
    <row r="408" spans="2:7" ht="12.75">
      <c r="B408" s="1" t="s">
        <v>59</v>
      </c>
      <c r="C408" s="1"/>
      <c r="D408" s="1"/>
      <c r="E408" s="1"/>
      <c r="F408" s="183">
        <f>-G399</f>
        <v>-19275</v>
      </c>
      <c r="G408" s="183">
        <f>G399+F408</f>
        <v>0</v>
      </c>
    </row>
    <row r="409" spans="2:7" ht="12.75">
      <c r="B409" s="1" t="s">
        <v>336</v>
      </c>
      <c r="C409" s="21"/>
      <c r="D409" s="21"/>
      <c r="E409" s="21"/>
      <c r="F409" s="183">
        <v>0</v>
      </c>
      <c r="G409" s="183">
        <f>F409</f>
        <v>0</v>
      </c>
    </row>
    <row r="410" spans="2:7" ht="12.75">
      <c r="B410" s="14" t="s">
        <v>60</v>
      </c>
      <c r="C410" s="1"/>
      <c r="D410" s="1"/>
      <c r="E410" s="1"/>
      <c r="F410" s="185"/>
      <c r="G410" s="185"/>
    </row>
    <row r="411" spans="2:7" ht="12.75">
      <c r="B411" s="14"/>
      <c r="C411" s="1"/>
      <c r="D411" s="1"/>
      <c r="E411" s="1"/>
      <c r="F411" s="228"/>
      <c r="G411" s="228"/>
    </row>
    <row r="412" spans="1:8" ht="13.5" thickBot="1">
      <c r="A412" s="18"/>
      <c r="B412" s="19"/>
      <c r="C412" s="18"/>
      <c r="D412" s="18"/>
      <c r="E412" s="18"/>
      <c r="F412" s="18"/>
      <c r="G412" s="18"/>
      <c r="H412" s="20"/>
    </row>
    <row r="413" spans="6:7" ht="13.5" thickTop="1">
      <c r="F413" s="215" t="s">
        <v>36</v>
      </c>
      <c r="G413" s="234"/>
    </row>
    <row r="414" spans="1:7" ht="13.5" thickBot="1">
      <c r="A414" s="25"/>
      <c r="B414" s="25"/>
      <c r="C414" s="23"/>
      <c r="D414" s="25"/>
      <c r="E414" s="27"/>
      <c r="F414" s="216" t="s">
        <v>124</v>
      </c>
      <c r="G414" s="218" t="s">
        <v>37</v>
      </c>
    </row>
    <row r="415" spans="1:8" ht="13.5" thickTop="1">
      <c r="A415" s="181">
        <f>A203</f>
        <v>37346</v>
      </c>
      <c r="B415" s="30" t="s">
        <v>59</v>
      </c>
      <c r="C415" s="21"/>
      <c r="D415" s="21"/>
      <c r="E415" s="21"/>
      <c r="F415" s="183">
        <f>-C$180*(B$180/4)</f>
        <v>16025.000000000002</v>
      </c>
      <c r="G415" s="183">
        <f>F415</f>
        <v>16025.000000000002</v>
      </c>
      <c r="H415" s="233">
        <f>A415</f>
        <v>37346</v>
      </c>
    </row>
    <row r="416" spans="1:7" ht="12.75">
      <c r="A416" s="21"/>
      <c r="B416" s="1" t="s">
        <v>38</v>
      </c>
      <c r="C416" s="21"/>
      <c r="D416" s="21"/>
      <c r="E416" s="21"/>
      <c r="F416" s="183">
        <f>-F415</f>
        <v>-16025.000000000002</v>
      </c>
      <c r="G416" s="183">
        <f>F416+G400</f>
        <v>881650</v>
      </c>
    </row>
    <row r="417" spans="1:7" ht="12.75">
      <c r="A417" s="21"/>
      <c r="B417" s="22" t="s">
        <v>331</v>
      </c>
      <c r="C417" s="21"/>
      <c r="D417" s="21"/>
      <c r="E417" s="21"/>
      <c r="F417" s="183"/>
      <c r="G417" s="183"/>
    </row>
    <row r="418" spans="1:7" ht="12.75">
      <c r="A418" s="21"/>
      <c r="B418" s="22"/>
      <c r="C418" s="21"/>
      <c r="D418" s="21"/>
      <c r="E418" s="21"/>
      <c r="F418" s="183"/>
      <c r="G418" s="183"/>
    </row>
    <row r="419" spans="1:8" ht="12.75">
      <c r="A419" s="181">
        <f>A415</f>
        <v>37346</v>
      </c>
      <c r="B419" s="30" t="s">
        <v>59</v>
      </c>
      <c r="C419" s="21"/>
      <c r="D419" s="21"/>
      <c r="E419" s="21"/>
      <c r="F419" s="183">
        <f>-H202</f>
        <v>3525.0000000000005</v>
      </c>
      <c r="G419" s="183">
        <f>F419+G415</f>
        <v>19550.000000000004</v>
      </c>
      <c r="H419" s="233">
        <f>H415</f>
        <v>37346</v>
      </c>
    </row>
    <row r="420" spans="1:7" ht="12.75">
      <c r="A420" s="21"/>
      <c r="B420" s="1" t="s">
        <v>38</v>
      </c>
      <c r="C420" s="21"/>
      <c r="D420" s="21"/>
      <c r="E420" s="21"/>
      <c r="F420" s="183">
        <f>-F419</f>
        <v>-3525.0000000000005</v>
      </c>
      <c r="G420" s="183">
        <f>F420+G416</f>
        <v>878125</v>
      </c>
    </row>
    <row r="421" spans="1:7" ht="12.75">
      <c r="A421" s="21"/>
      <c r="B421" s="22" t="s">
        <v>307</v>
      </c>
      <c r="C421" s="21"/>
      <c r="D421" s="21"/>
      <c r="E421" s="21"/>
      <c r="F421" s="183"/>
      <c r="G421" s="183"/>
    </row>
    <row r="422" spans="1:7" ht="12.75">
      <c r="A422" s="21"/>
      <c r="B422" s="22"/>
      <c r="C422" s="21"/>
      <c r="D422" s="3" t="s">
        <v>35</v>
      </c>
      <c r="E422" s="21"/>
      <c r="F422" s="183"/>
      <c r="G422" s="183"/>
    </row>
    <row r="423" spans="1:8" ht="12.75">
      <c r="A423" s="181">
        <f>A415</f>
        <v>37346</v>
      </c>
      <c r="B423" s="30" t="s">
        <v>320</v>
      </c>
      <c r="C423" s="21"/>
      <c r="D423" s="21"/>
      <c r="E423" s="21"/>
      <c r="F423" s="183">
        <f>G423-G403</f>
        <v>-4376.795919394121</v>
      </c>
      <c r="G423" s="183">
        <f>C187-C$180</f>
        <v>2477.250987221254</v>
      </c>
      <c r="H423" s="233">
        <f>H415</f>
        <v>37346</v>
      </c>
    </row>
    <row r="424" spans="2:7" ht="12.75">
      <c r="B424" s="1" t="s">
        <v>39</v>
      </c>
      <c r="C424" s="21"/>
      <c r="D424" s="21"/>
      <c r="E424" s="21"/>
      <c r="F424" s="183">
        <f>G424-G404</f>
        <v>4374.699219918693</v>
      </c>
      <c r="G424" s="183">
        <f>G222</f>
        <v>-2476.5828061399634</v>
      </c>
    </row>
    <row r="425" spans="2:7" ht="12.75">
      <c r="B425" s="1" t="s">
        <v>336</v>
      </c>
      <c r="C425" s="21"/>
      <c r="D425" s="21"/>
      <c r="E425" s="21"/>
      <c r="F425" s="183">
        <v>0</v>
      </c>
      <c r="G425" s="183">
        <f>F425</f>
        <v>0</v>
      </c>
    </row>
    <row r="426" spans="2:7" ht="12.75">
      <c r="B426" s="22" t="s">
        <v>332</v>
      </c>
      <c r="C426" s="21"/>
      <c r="D426" s="21"/>
      <c r="E426" s="21"/>
      <c r="F426" s="183"/>
      <c r="G426" s="183"/>
    </row>
    <row r="427" spans="2:7" ht="12.75">
      <c r="B427" s="31"/>
      <c r="C427" s="1"/>
      <c r="D427" s="1"/>
      <c r="E427" s="1"/>
      <c r="F427" s="183"/>
      <c r="G427" s="183"/>
    </row>
    <row r="428" spans="1:8" ht="12.75">
      <c r="A428" s="181">
        <f>A415</f>
        <v>37346</v>
      </c>
      <c r="B428" s="1" t="s">
        <v>50</v>
      </c>
      <c r="C428" s="1"/>
      <c r="D428" s="1"/>
      <c r="E428" s="1"/>
      <c r="F428" s="183">
        <f>-F429</f>
        <v>19550.000000000004</v>
      </c>
      <c r="G428" s="183">
        <f>F428+G407</f>
        <v>121875</v>
      </c>
      <c r="H428" s="233">
        <f>H415</f>
        <v>37346</v>
      </c>
    </row>
    <row r="429" spans="2:7" ht="12.75">
      <c r="B429" s="1" t="s">
        <v>59</v>
      </c>
      <c r="C429" s="1"/>
      <c r="D429" s="1"/>
      <c r="E429" s="1"/>
      <c r="F429" s="183">
        <f>-G419</f>
        <v>-19550.000000000004</v>
      </c>
      <c r="G429" s="183">
        <f>G419+F429</f>
        <v>0</v>
      </c>
    </row>
    <row r="430" spans="2:7" ht="12.75">
      <c r="B430" s="14" t="s">
        <v>60</v>
      </c>
      <c r="C430" s="1"/>
      <c r="D430" s="1"/>
      <c r="E430" s="1"/>
      <c r="F430" s="185"/>
      <c r="G430" s="185"/>
    </row>
    <row r="431" spans="2:7" ht="12.75">
      <c r="B431" s="14"/>
      <c r="C431" s="1"/>
      <c r="D431" s="1"/>
      <c r="E431" s="1"/>
      <c r="F431" s="228"/>
      <c r="G431" s="228"/>
    </row>
    <row r="432" spans="1:8" ht="13.5" thickBot="1">
      <c r="A432" s="18"/>
      <c r="B432" s="19"/>
      <c r="C432" s="18"/>
      <c r="D432" s="18"/>
      <c r="E432" s="18"/>
      <c r="F432" s="18"/>
      <c r="G432" s="18"/>
      <c r="H432" s="20"/>
    </row>
    <row r="433" spans="6:7" ht="13.5" thickTop="1">
      <c r="F433" s="215" t="s">
        <v>36</v>
      </c>
      <c r="G433" s="217"/>
    </row>
    <row r="434" spans="1:7" ht="13.5" thickBot="1">
      <c r="A434" s="25"/>
      <c r="B434" s="25"/>
      <c r="C434" s="23"/>
      <c r="D434" s="25"/>
      <c r="E434" s="27"/>
      <c r="F434" s="216" t="s">
        <v>124</v>
      </c>
      <c r="G434" s="218" t="s">
        <v>37</v>
      </c>
    </row>
    <row r="435" spans="1:8" ht="13.5" thickTop="1">
      <c r="A435" s="214">
        <f>A204</f>
        <v>37437</v>
      </c>
      <c r="B435" s="30" t="s">
        <v>59</v>
      </c>
      <c r="C435" s="21"/>
      <c r="D435" s="21"/>
      <c r="E435" s="21"/>
      <c r="F435" s="183">
        <f>-C$180*(B$180/4)</f>
        <v>16025.000000000002</v>
      </c>
      <c r="G435" s="183">
        <f>F435</f>
        <v>16025.000000000002</v>
      </c>
      <c r="H435" s="221">
        <f>A435</f>
        <v>37437</v>
      </c>
    </row>
    <row r="436" spans="1:7" ht="12.75">
      <c r="A436" s="21"/>
      <c r="B436" s="1" t="s">
        <v>38</v>
      </c>
      <c r="C436" s="21"/>
      <c r="D436" s="21"/>
      <c r="E436" s="21"/>
      <c r="F436" s="183">
        <f>-F435</f>
        <v>-16025.000000000002</v>
      </c>
      <c r="G436" s="183">
        <f>F436+G420</f>
        <v>862100</v>
      </c>
    </row>
    <row r="437" spans="1:7" ht="12.75">
      <c r="A437" s="21"/>
      <c r="B437" s="22" t="s">
        <v>331</v>
      </c>
      <c r="C437" s="21"/>
      <c r="D437" s="21"/>
      <c r="E437" s="21"/>
      <c r="F437" s="183"/>
      <c r="G437" s="183"/>
    </row>
    <row r="438" spans="1:7" ht="12.75">
      <c r="A438" s="21"/>
      <c r="B438" s="22"/>
      <c r="C438" s="21"/>
      <c r="D438" s="21"/>
      <c r="E438" s="21"/>
      <c r="F438" s="183"/>
      <c r="G438" s="183"/>
    </row>
    <row r="439" spans="1:8" ht="12.75">
      <c r="A439" s="214">
        <f>A435</f>
        <v>37437</v>
      </c>
      <c r="B439" s="30" t="s">
        <v>59</v>
      </c>
      <c r="C439" s="21"/>
      <c r="D439" s="21"/>
      <c r="E439" s="21"/>
      <c r="F439" s="183">
        <f>-H203</f>
        <v>2524.9999999999995</v>
      </c>
      <c r="G439" s="183">
        <f>F439+G435</f>
        <v>18550</v>
      </c>
      <c r="H439" s="221">
        <f>H435</f>
        <v>37437</v>
      </c>
    </row>
    <row r="440" spans="1:7" ht="12.75">
      <c r="A440" s="21"/>
      <c r="B440" s="1" t="s">
        <v>38</v>
      </c>
      <c r="C440" s="21"/>
      <c r="D440" s="21"/>
      <c r="E440" s="21"/>
      <c r="F440" s="183">
        <f>-F439</f>
        <v>-2524.9999999999995</v>
      </c>
      <c r="G440" s="183">
        <f>F440+G436</f>
        <v>859575</v>
      </c>
    </row>
    <row r="441" spans="1:7" ht="12.75">
      <c r="A441" s="21"/>
      <c r="B441" s="22" t="s">
        <v>307</v>
      </c>
      <c r="C441" s="21"/>
      <c r="D441" s="21"/>
      <c r="E441" s="21"/>
      <c r="F441" s="183"/>
      <c r="G441" s="183"/>
    </row>
    <row r="442" spans="1:7" ht="12.75">
      <c r="A442" s="21"/>
      <c r="B442" s="22"/>
      <c r="C442" s="21"/>
      <c r="D442" s="3" t="s">
        <v>35</v>
      </c>
      <c r="E442" s="21"/>
      <c r="F442" s="183"/>
      <c r="G442" s="183"/>
    </row>
    <row r="443" spans="1:8" ht="12.75">
      <c r="A443" s="214">
        <f>A435</f>
        <v>37437</v>
      </c>
      <c r="B443" s="30" t="s">
        <v>320</v>
      </c>
      <c r="C443" s="21"/>
      <c r="D443" s="21"/>
      <c r="E443" s="21"/>
      <c r="F443" s="183">
        <f>G443-G423</f>
        <v>-2477.250987221254</v>
      </c>
      <c r="G443" s="183">
        <v>0</v>
      </c>
      <c r="H443" s="221">
        <f>H435</f>
        <v>37437</v>
      </c>
    </row>
    <row r="444" spans="2:7" ht="12.75">
      <c r="B444" s="1" t="s">
        <v>39</v>
      </c>
      <c r="C444" s="21"/>
      <c r="D444" s="21"/>
      <c r="E444" s="21"/>
      <c r="F444" s="183">
        <f>G444-G424</f>
        <v>2476.5828061399634</v>
      </c>
      <c r="G444" s="183">
        <f>G223</f>
        <v>0</v>
      </c>
    </row>
    <row r="445" spans="2:7" ht="12.75">
      <c r="B445" s="1" t="s">
        <v>336</v>
      </c>
      <c r="C445" s="21"/>
      <c r="D445" s="21"/>
      <c r="E445" s="21"/>
      <c r="F445" s="183">
        <v>0</v>
      </c>
      <c r="G445" s="183">
        <f>F445</f>
        <v>0</v>
      </c>
    </row>
    <row r="446" spans="2:7" ht="12.75">
      <c r="B446" s="22" t="s">
        <v>332</v>
      </c>
      <c r="C446" s="21"/>
      <c r="D446" s="21"/>
      <c r="E446" s="21"/>
      <c r="F446" s="183"/>
      <c r="G446" s="183"/>
    </row>
    <row r="447" spans="2:7" ht="12.75">
      <c r="B447" s="31"/>
      <c r="C447" s="1"/>
      <c r="D447" s="1"/>
      <c r="E447" s="1"/>
      <c r="F447" s="183"/>
      <c r="G447" s="183"/>
    </row>
    <row r="448" spans="1:8" ht="12.75">
      <c r="A448" s="214">
        <f>A435</f>
        <v>37437</v>
      </c>
      <c r="B448" s="1" t="s">
        <v>50</v>
      </c>
      <c r="C448" s="1"/>
      <c r="D448" s="1"/>
      <c r="E448" s="1"/>
      <c r="F448" s="183">
        <f>-F449</f>
        <v>18550</v>
      </c>
      <c r="G448" s="183">
        <f>F448+G428</f>
        <v>140425</v>
      </c>
      <c r="H448" s="221">
        <f>H435</f>
        <v>37437</v>
      </c>
    </row>
    <row r="449" spans="2:7" ht="12.75">
      <c r="B449" s="1" t="s">
        <v>59</v>
      </c>
      <c r="C449" s="1"/>
      <c r="D449" s="1"/>
      <c r="E449" s="1"/>
      <c r="F449" s="183">
        <f>-G439</f>
        <v>-18550</v>
      </c>
      <c r="G449" s="183">
        <f>G439+F449</f>
        <v>0</v>
      </c>
    </row>
    <row r="450" spans="2:7" ht="12.75">
      <c r="B450" s="14" t="s">
        <v>60</v>
      </c>
      <c r="C450" s="1"/>
      <c r="D450" s="1"/>
      <c r="E450" s="1"/>
      <c r="F450" s="183"/>
      <c r="G450" s="183"/>
    </row>
    <row r="451" spans="2:7" ht="12.75">
      <c r="B451" s="14"/>
      <c r="C451" s="1"/>
      <c r="D451" s="1"/>
      <c r="E451" s="1"/>
      <c r="F451" s="183"/>
      <c r="G451" s="183"/>
    </row>
    <row r="452" spans="1:8" ht="12.75">
      <c r="A452" s="214">
        <f>A448</f>
        <v>37437</v>
      </c>
      <c r="B452" s="1" t="s">
        <v>38</v>
      </c>
      <c r="C452" s="1"/>
      <c r="D452" s="1"/>
      <c r="E452" s="1"/>
      <c r="F452" s="183">
        <f>C180</f>
        <v>-1000000</v>
      </c>
      <c r="G452" s="183">
        <f>F452+G440</f>
        <v>-140425</v>
      </c>
      <c r="H452" s="214">
        <f>H435</f>
        <v>37437</v>
      </c>
    </row>
    <row r="453" spans="2:7" ht="12.75">
      <c r="B453" s="1" t="s">
        <v>24</v>
      </c>
      <c r="D453" s="1"/>
      <c r="E453" s="1"/>
      <c r="F453" s="183">
        <f>-F452</f>
        <v>1000000</v>
      </c>
      <c r="G453" s="183">
        <v>0</v>
      </c>
    </row>
    <row r="454" spans="2:7" ht="12.75">
      <c r="B454" s="14" t="s">
        <v>113</v>
      </c>
      <c r="E454" s="1"/>
      <c r="F454" s="185"/>
      <c r="G454" s="185"/>
    </row>
    <row r="455" spans="2:7" ht="12.75">
      <c r="B455" s="14"/>
      <c r="E455" s="1"/>
      <c r="F455" s="183"/>
      <c r="G455" s="183"/>
    </row>
    <row r="456" spans="2:7" ht="12.75">
      <c r="B456" s="14"/>
      <c r="C456" s="1"/>
      <c r="D456" s="1"/>
      <c r="E456" s="1"/>
      <c r="F456" s="185"/>
      <c r="G456" s="185"/>
    </row>
    <row r="457" spans="1:8" ht="12.75">
      <c r="A457" s="18"/>
      <c r="B457" s="19"/>
      <c r="C457" s="18"/>
      <c r="D457" s="18"/>
      <c r="E457" s="18"/>
      <c r="F457" s="18"/>
      <c r="G457" s="18"/>
      <c r="H457" s="20"/>
    </row>
    <row r="459" ht="18">
      <c r="A459" s="176" t="s">
        <v>312</v>
      </c>
    </row>
    <row r="460" spans="1:5" ht="13.5" customHeight="1">
      <c r="A460" s="176"/>
      <c r="B460" s="197" t="s">
        <v>112</v>
      </c>
      <c r="C460" s="197" t="s">
        <v>236</v>
      </c>
      <c r="D460" s="197" t="s">
        <v>20</v>
      </c>
      <c r="E460" s="4" t="s">
        <v>20</v>
      </c>
    </row>
    <row r="461" spans="1:5" ht="12.75" customHeight="1">
      <c r="A461" s="176"/>
      <c r="B461" s="197" t="s">
        <v>45</v>
      </c>
      <c r="C461" s="197" t="s">
        <v>43</v>
      </c>
      <c r="D461" s="197" t="s">
        <v>315</v>
      </c>
      <c r="E461" s="4" t="s">
        <v>316</v>
      </c>
    </row>
    <row r="462" ht="12.75">
      <c r="A462" s="1" t="s">
        <v>313</v>
      </c>
    </row>
    <row r="463" spans="1:5" ht="12.75">
      <c r="A463" s="191">
        <f>A$196</f>
        <v>36708</v>
      </c>
      <c r="D463" s="238" t="s">
        <v>35</v>
      </c>
      <c r="E463" s="240">
        <f>-C$180</f>
        <v>1000000</v>
      </c>
    </row>
    <row r="464" ht="12.75">
      <c r="D464" s="238"/>
    </row>
    <row r="465" ht="12.75">
      <c r="A465" s="1" t="s">
        <v>314</v>
      </c>
    </row>
    <row r="466" spans="1:3" ht="12.75">
      <c r="A466" s="191">
        <f>A$197</f>
        <v>36799</v>
      </c>
      <c r="B466" s="98">
        <f>F$295</f>
        <v>-16025.000000000002</v>
      </c>
      <c r="C466" s="98">
        <f>F$299</f>
        <v>0</v>
      </c>
    </row>
    <row r="467" spans="1:3" ht="12.75">
      <c r="A467" s="191">
        <f>A$198</f>
        <v>36891</v>
      </c>
      <c r="B467" s="98">
        <f>F$315</f>
        <v>-16025.000000000002</v>
      </c>
      <c r="C467" s="98">
        <f>F$319</f>
        <v>-174.99999999999807</v>
      </c>
    </row>
    <row r="468" spans="1:3" ht="12.75">
      <c r="A468" s="191">
        <f>A$199</f>
        <v>36981</v>
      </c>
      <c r="B468" s="98">
        <f>F$335</f>
        <v>-16025.000000000002</v>
      </c>
      <c r="C468" s="98">
        <f>F$339</f>
        <v>0</v>
      </c>
    </row>
    <row r="469" spans="1:3" ht="12.75">
      <c r="A469" s="191">
        <f>A$200</f>
        <v>37072</v>
      </c>
      <c r="B469" s="98">
        <f>F$355</f>
        <v>-16025.000000000002</v>
      </c>
      <c r="C469" s="98">
        <f>F$359</f>
        <v>224.99999999999952</v>
      </c>
    </row>
    <row r="470" spans="1:3" ht="12.75">
      <c r="A470" s="191">
        <f>A$201</f>
        <v>37164</v>
      </c>
      <c r="B470" s="98">
        <f>F$375</f>
        <v>-16025.000000000002</v>
      </c>
      <c r="C470" s="98">
        <f>F$379</f>
        <v>-2974.9999999999986</v>
      </c>
    </row>
    <row r="471" spans="1:3" ht="12.75">
      <c r="A471" s="191">
        <f>A$202</f>
        <v>37256</v>
      </c>
      <c r="B471" s="98">
        <f>F$396</f>
        <v>-16025.000000000002</v>
      </c>
      <c r="C471" s="98">
        <f>F$400</f>
        <v>-3249.9999999999995</v>
      </c>
    </row>
    <row r="472" spans="1:3" ht="12.75">
      <c r="A472" s="191">
        <f>A$203</f>
        <v>37346</v>
      </c>
      <c r="B472" s="98">
        <f>F$416</f>
        <v>-16025.000000000002</v>
      </c>
      <c r="C472" s="98">
        <f>F$420</f>
        <v>-3525.0000000000005</v>
      </c>
    </row>
    <row r="473" spans="1:4" ht="13.5" thickBot="1">
      <c r="A473" s="191">
        <f>A$204</f>
        <v>37437</v>
      </c>
      <c r="B473" s="239">
        <f>F$436</f>
        <v>-16025.000000000002</v>
      </c>
      <c r="C473" s="239">
        <f>F$440</f>
        <v>-2524.9999999999995</v>
      </c>
      <c r="D473" s="239">
        <f>C180</f>
        <v>-1000000</v>
      </c>
    </row>
    <row r="474" spans="1:5" ht="14.25" thickBot="1" thickTop="1">
      <c r="A474" s="191" t="s">
        <v>35</v>
      </c>
      <c r="B474" s="239">
        <f>SUM(B466:B473)</f>
        <v>-128200.00000000001</v>
      </c>
      <c r="C474" s="239">
        <f>SUM(C466:C473)</f>
        <v>-12224.999999999996</v>
      </c>
      <c r="D474" s="239">
        <f>SUM(D466:D473)</f>
        <v>-1000000</v>
      </c>
      <c r="E474" s="239">
        <f>SUM(B474:D474)</f>
        <v>-1140425</v>
      </c>
    </row>
    <row r="475" spans="3:5" ht="13.5" thickTop="1">
      <c r="C475" s="1" t="s">
        <v>317</v>
      </c>
      <c r="E475" s="240">
        <f>E463+E474</f>
        <v>-140425</v>
      </c>
    </row>
  </sheetData>
  <hyperlinks>
    <hyperlink ref="D53" r:id="rId1" display="http://www.trinity.edu/rjensen/acct5341/speakers/133glosf.htm"/>
    <hyperlink ref="D148" r:id="rId2" display="http://www.trinity.edu/rjensen/acct5341/speakers/133glosf.htm"/>
    <hyperlink ref="A152" r:id="rId3" display="http://www.trinity.edu/rjensen/caseans/133exh02a.htm"/>
    <hyperlink ref="D453" r:id="rId4" display="http://www.trinity.edu/rjensen/acct5341/speakers/133glosf.htm"/>
    <hyperlink ref="A457" r:id="rId5" display="http://www.trinity.edu/rjensen/caseans/133exh02a.htm"/>
  </hyperlinks>
  <printOptions/>
  <pageMargins left="0.75" right="0.75" top="1" bottom="1" header="0.5" footer="0.5"/>
  <pageSetup horizontalDpi="200" verticalDpi="200" orientation="portrait" r:id="rId12"/>
  <drawing r:id="rId11"/>
  <legacyDrawing r:id="rId10"/>
  <oleObjects>
    <oleObject progId="Word.Document.8" shapeId="809505" r:id="rId6"/>
    <oleObject progId="Word.Document.8" shapeId="1432895" r:id="rId7"/>
    <oleObject progId="Word.Document.8" shapeId="1437521" r:id="rId8"/>
    <oleObject progId="Word.Document.8" shapeId="1441111" r:id="rId9"/>
  </oleObjects>
</worksheet>
</file>

<file path=xl/worksheets/sheet3.xml><?xml version="1.0" encoding="utf-8"?>
<worksheet xmlns="http://schemas.openxmlformats.org/spreadsheetml/2006/main" xmlns:r="http://schemas.openxmlformats.org/officeDocument/2006/relationships">
  <sheetPr codeName="Sheet3"/>
  <dimension ref="A1:L326"/>
  <sheetViews>
    <sheetView workbookViewId="0" topLeftCell="A1">
      <selection activeCell="A1" sqref="A1"/>
    </sheetView>
  </sheetViews>
  <sheetFormatPr defaultColWidth="9.140625" defaultRowHeight="12.75"/>
  <cols>
    <col min="1" max="1" width="20.7109375" style="0" customWidth="1"/>
    <col min="2" max="2" width="10.7109375" style="0" customWidth="1"/>
    <col min="3" max="3" width="13.7109375" style="0" customWidth="1"/>
    <col min="4" max="4" width="13.421875" style="0" customWidth="1"/>
    <col min="5" max="5" width="12.28125" style="0" customWidth="1"/>
    <col min="6" max="6" width="13.140625" style="0" customWidth="1"/>
    <col min="7" max="7" width="11.28125" style="0" bestFit="1" customWidth="1"/>
    <col min="8" max="8" width="12.28125" style="0" customWidth="1"/>
    <col min="9" max="9" width="13.7109375" style="0" customWidth="1"/>
    <col min="10" max="10" width="13.421875" style="0" customWidth="1"/>
    <col min="11" max="11" width="12.8515625" style="0" customWidth="1"/>
    <col min="12" max="12" width="15.00390625" style="0" customWidth="1"/>
  </cols>
  <sheetData>
    <row r="1" spans="1:2" ht="12.75">
      <c r="A1" s="125" t="s">
        <v>135</v>
      </c>
      <c r="B1" s="41"/>
    </row>
    <row r="2" spans="1:2" ht="18">
      <c r="A2" s="235" t="s">
        <v>327</v>
      </c>
      <c r="B2" s="41"/>
    </row>
    <row r="3" spans="1:2" ht="12.75">
      <c r="A3" s="1" t="s">
        <v>116</v>
      </c>
      <c r="B3" s="41"/>
    </row>
    <row r="4" spans="1:2" ht="12.75">
      <c r="A4" s="41"/>
      <c r="B4" s="42" t="s">
        <v>25</v>
      </c>
    </row>
    <row r="19" ht="12.75">
      <c r="A19" t="s">
        <v>261</v>
      </c>
    </row>
    <row r="20" ht="12.75">
      <c r="A20" t="s">
        <v>262</v>
      </c>
    </row>
    <row r="21" ht="12.75">
      <c r="A21" t="s">
        <v>244</v>
      </c>
    </row>
    <row r="23" ht="12.75">
      <c r="A23" t="s">
        <v>256</v>
      </c>
    </row>
    <row r="24" ht="12.75">
      <c r="A24" t="s">
        <v>257</v>
      </c>
    </row>
    <row r="25" ht="12.75">
      <c r="A25" t="s">
        <v>258</v>
      </c>
    </row>
    <row r="27" ht="12.75">
      <c r="A27" t="s">
        <v>259</v>
      </c>
    </row>
    <row r="28" ht="12.75">
      <c r="A28" t="s">
        <v>260</v>
      </c>
    </row>
    <row r="29" ht="12.75">
      <c r="A29" t="s">
        <v>263</v>
      </c>
    </row>
    <row r="30" ht="12.75">
      <c r="A30" t="s">
        <v>264</v>
      </c>
    </row>
    <row r="31" ht="12.75">
      <c r="A31" t="s">
        <v>35</v>
      </c>
    </row>
    <row r="32" ht="12.75">
      <c r="A32" t="s">
        <v>298</v>
      </c>
    </row>
    <row r="33" ht="12.75">
      <c r="A33" t="s">
        <v>299</v>
      </c>
    </row>
    <row r="34" ht="12.75">
      <c r="A34" t="s">
        <v>300</v>
      </c>
    </row>
    <row r="36" spans="3:9" ht="12.75">
      <c r="C36" s="4" t="s">
        <v>301</v>
      </c>
      <c r="D36" s="4" t="s">
        <v>301</v>
      </c>
      <c r="E36" s="4" t="s">
        <v>301</v>
      </c>
      <c r="F36" s="4" t="s">
        <v>301</v>
      </c>
      <c r="G36" s="4" t="s">
        <v>301</v>
      </c>
      <c r="H36" s="4" t="s">
        <v>301</v>
      </c>
      <c r="I36" s="4" t="s">
        <v>301</v>
      </c>
    </row>
    <row r="37" spans="3:9" ht="12.75">
      <c r="C37" s="4" t="s">
        <v>290</v>
      </c>
      <c r="D37" s="4" t="s">
        <v>290</v>
      </c>
      <c r="E37" s="4" t="s">
        <v>290</v>
      </c>
      <c r="F37" s="4" t="s">
        <v>290</v>
      </c>
      <c r="G37" s="4" t="s">
        <v>290</v>
      </c>
      <c r="H37" s="4" t="s">
        <v>290</v>
      </c>
      <c r="I37" s="4" t="s">
        <v>290</v>
      </c>
    </row>
    <row r="38" spans="2:9" ht="12.75">
      <c r="B38" s="4" t="s">
        <v>200</v>
      </c>
      <c r="C38" s="4" t="s">
        <v>302</v>
      </c>
      <c r="D38" s="4" t="s">
        <v>302</v>
      </c>
      <c r="E38" s="4" t="s">
        <v>302</v>
      </c>
      <c r="F38" s="4" t="s">
        <v>302</v>
      </c>
      <c r="G38" s="4" t="s">
        <v>302</v>
      </c>
      <c r="H38" s="4" t="s">
        <v>302</v>
      </c>
      <c r="I38" s="4" t="s">
        <v>302</v>
      </c>
    </row>
    <row r="39" spans="2:8" ht="12.75">
      <c r="B39" s="256">
        <v>36708</v>
      </c>
      <c r="C39" s="24"/>
      <c r="D39" s="24"/>
      <c r="E39" s="24"/>
      <c r="F39" s="24"/>
      <c r="G39" s="24"/>
      <c r="H39" s="24"/>
    </row>
    <row r="40" spans="2:8" ht="12.75">
      <c r="B40" s="257">
        <v>36799</v>
      </c>
      <c r="C40" s="168">
        <f>B40</f>
        <v>36799</v>
      </c>
      <c r="D40" s="26"/>
      <c r="E40" s="26"/>
      <c r="F40" s="26"/>
      <c r="G40" s="26"/>
      <c r="H40" s="26"/>
    </row>
    <row r="41" spans="1:8" ht="12.75">
      <c r="A41" t="s">
        <v>35</v>
      </c>
      <c r="B41" s="258">
        <v>36891</v>
      </c>
      <c r="C41" s="255">
        <v>0.9842277503014198</v>
      </c>
      <c r="D41" s="168">
        <f>B41</f>
        <v>36891</v>
      </c>
      <c r="E41" s="26"/>
      <c r="F41" s="26"/>
      <c r="G41" s="26"/>
      <c r="H41" s="26"/>
    </row>
    <row r="42" spans="2:8" ht="12.75">
      <c r="B42" s="259">
        <v>36981</v>
      </c>
      <c r="C42" s="255">
        <v>0.9687042644633939</v>
      </c>
      <c r="D42" s="255">
        <v>0.98405825624877</v>
      </c>
      <c r="E42" s="168">
        <f>B42</f>
        <v>36981</v>
      </c>
      <c r="F42" s="26"/>
      <c r="G42" s="26"/>
      <c r="H42" s="26"/>
    </row>
    <row r="43" spans="2:8" ht="12.75">
      <c r="B43" s="260">
        <v>37072</v>
      </c>
      <c r="C43" s="255">
        <v>0.9534256189201977</v>
      </c>
      <c r="D43" s="255">
        <v>0.9683706516913698</v>
      </c>
      <c r="E43" s="255">
        <v>0.9842277503014198</v>
      </c>
      <c r="F43" s="168">
        <f>B43</f>
        <v>37072</v>
      </c>
      <c r="G43" s="26"/>
      <c r="H43" s="26"/>
    </row>
    <row r="44" spans="2:8" ht="12.75">
      <c r="B44" s="261">
        <v>37164</v>
      </c>
      <c r="C44" s="255">
        <v>0.9383879519895649</v>
      </c>
      <c r="D44" s="255">
        <v>0.9529331349058943</v>
      </c>
      <c r="E44" s="255">
        <v>0.9687042644633939</v>
      </c>
      <c r="F44" s="255">
        <v>0.9844457570387871</v>
      </c>
      <c r="G44" s="168">
        <f>B44</f>
        <v>37164</v>
      </c>
      <c r="H44" s="26"/>
    </row>
    <row r="45" spans="2:8" ht="12.75">
      <c r="B45" s="257">
        <v>37256</v>
      </c>
      <c r="C45" s="255">
        <v>0.9235874628966463</v>
      </c>
      <c r="D45" s="255">
        <v>0.9377417190571683</v>
      </c>
      <c r="E45" s="255">
        <v>0.9534256189201977</v>
      </c>
      <c r="F45" s="255">
        <v>0.9691334485516706</v>
      </c>
      <c r="G45" s="255">
        <v>0.9813542688910698</v>
      </c>
      <c r="H45" s="168">
        <f>B45</f>
        <v>37256</v>
      </c>
    </row>
    <row r="46" spans="2:9" ht="12.75">
      <c r="B46" s="262">
        <v>37346</v>
      </c>
      <c r="C46" s="255">
        <v>0.909020410813362</v>
      </c>
      <c r="D46" s="255">
        <v>0.922792480867121</v>
      </c>
      <c r="E46" s="255">
        <v>0.9383879519895649</v>
      </c>
      <c r="F46" s="255">
        <v>0.9540593114310598</v>
      </c>
      <c r="G46" s="255">
        <v>0.963056201070726</v>
      </c>
      <c r="H46" s="255">
        <v>0.9810894998896275</v>
      </c>
      <c r="I46" s="168">
        <f>B46</f>
        <v>37346</v>
      </c>
    </row>
    <row r="47" spans="2:9" ht="12.75">
      <c r="B47" s="263">
        <v>37437</v>
      </c>
      <c r="C47" s="255">
        <v>0.8946831139129077</v>
      </c>
      <c r="D47" s="255">
        <v>0.9080815596015754</v>
      </c>
      <c r="E47" s="255">
        <v>0.9235874628966463</v>
      </c>
      <c r="F47" s="255">
        <v>0.9392196411016537</v>
      </c>
      <c r="G47" s="255">
        <v>0.9450993141027734</v>
      </c>
      <c r="H47" s="255">
        <v>0.9625366067936794</v>
      </c>
      <c r="I47" s="255">
        <v>0.9808248737187976</v>
      </c>
    </row>
    <row r="48" spans="2:9" ht="12.75">
      <c r="B48" s="165"/>
      <c r="C48" s="207"/>
      <c r="D48" s="207"/>
      <c r="E48" s="207"/>
      <c r="F48" s="207"/>
      <c r="G48" s="207"/>
      <c r="H48" s="207"/>
      <c r="I48" s="207"/>
    </row>
    <row r="49" spans="2:9" ht="12.75">
      <c r="B49" s="165"/>
      <c r="C49" s="207"/>
      <c r="D49" s="207"/>
      <c r="E49" s="207"/>
      <c r="F49" s="207"/>
      <c r="G49" s="207"/>
      <c r="H49" s="207"/>
      <c r="I49" s="207"/>
    </row>
    <row r="50" spans="2:8" ht="12.75">
      <c r="B50" s="165"/>
      <c r="C50" s="198"/>
      <c r="D50" s="24"/>
      <c r="E50" s="24"/>
      <c r="F50" s="24"/>
      <c r="G50" s="24"/>
      <c r="H50" s="24"/>
    </row>
    <row r="51" spans="2:3" ht="12.75">
      <c r="B51" s="165"/>
      <c r="C51" s="198"/>
    </row>
    <row r="52" ht="18">
      <c r="A52" s="176" t="s">
        <v>247</v>
      </c>
    </row>
    <row r="53" ht="18">
      <c r="A53" s="176"/>
    </row>
    <row r="54" spans="3:9" ht="12.75">
      <c r="C54" s="4" t="s">
        <v>214</v>
      </c>
      <c r="D54" s="4" t="s">
        <v>303</v>
      </c>
      <c r="E54" s="4" t="s">
        <v>303</v>
      </c>
      <c r="F54" s="4" t="s">
        <v>303</v>
      </c>
      <c r="G54" s="4" t="s">
        <v>303</v>
      </c>
      <c r="H54" s="4" t="s">
        <v>303</v>
      </c>
      <c r="I54" s="4" t="s">
        <v>303</v>
      </c>
    </row>
    <row r="55" spans="2:9" ht="12.75">
      <c r="B55" s="4" t="s">
        <v>202</v>
      </c>
      <c r="C55" s="4" t="s">
        <v>112</v>
      </c>
      <c r="D55" s="4" t="s">
        <v>290</v>
      </c>
      <c r="E55" s="4" t="s">
        <v>290</v>
      </c>
      <c r="F55" s="4" t="s">
        <v>290</v>
      </c>
      <c r="G55" s="4" t="s">
        <v>290</v>
      </c>
      <c r="H55" s="4" t="s">
        <v>290</v>
      </c>
      <c r="I55" s="4" t="s">
        <v>290</v>
      </c>
    </row>
    <row r="56" spans="1:9" ht="12.75">
      <c r="A56" s="4" t="s">
        <v>200</v>
      </c>
      <c r="B56" s="4" t="s">
        <v>204</v>
      </c>
      <c r="C56" s="4" t="s">
        <v>215</v>
      </c>
      <c r="D56" s="4" t="s">
        <v>304</v>
      </c>
      <c r="E56" s="4" t="s">
        <v>304</v>
      </c>
      <c r="F56" s="4" t="s">
        <v>304</v>
      </c>
      <c r="G56" s="4" t="s">
        <v>304</v>
      </c>
      <c r="H56" s="4" t="s">
        <v>304</v>
      </c>
      <c r="I56" s="4" t="s">
        <v>304</v>
      </c>
    </row>
    <row r="57" spans="1:3" ht="12.75">
      <c r="A57" s="256">
        <v>36708</v>
      </c>
      <c r="B57" s="177">
        <v>0.0641</v>
      </c>
      <c r="C57" s="232">
        <v>-1000000</v>
      </c>
    </row>
    <row r="58" spans="1:4" ht="12.75">
      <c r="A58" s="257">
        <v>36799</v>
      </c>
      <c r="B58" s="177">
        <v>0.0648</v>
      </c>
      <c r="C58" s="232">
        <v>-998849.8935996729</v>
      </c>
      <c r="D58" s="209">
        <f>A58</f>
        <v>36799</v>
      </c>
    </row>
    <row r="59" spans="1:8" ht="12.75">
      <c r="A59" s="258">
        <v>36891</v>
      </c>
      <c r="B59" s="177">
        <v>0.0641</v>
      </c>
      <c r="C59" s="232">
        <v>-1000000</v>
      </c>
      <c r="D59" s="208">
        <f>C41</f>
        <v>0.9842277503014198</v>
      </c>
      <c r="E59" s="209">
        <f>A59</f>
        <v>36891</v>
      </c>
      <c r="F59" s="1"/>
      <c r="G59" s="1"/>
      <c r="H59" s="1"/>
    </row>
    <row r="60" spans="1:8" ht="12.75">
      <c r="A60" s="259">
        <v>36981</v>
      </c>
      <c r="B60" s="177">
        <v>0.0632</v>
      </c>
      <c r="C60" s="232">
        <v>-1001073.580513465</v>
      </c>
      <c r="D60" s="208">
        <f aca="true" t="shared" si="0" ref="D60:H65">C42</f>
        <v>0.9687042644633939</v>
      </c>
      <c r="E60" s="208">
        <f>D42</f>
        <v>0.98405825624877</v>
      </c>
      <c r="F60" s="209">
        <f>A60</f>
        <v>36981</v>
      </c>
      <c r="G60" s="1"/>
      <c r="H60" s="1"/>
    </row>
    <row r="61" spans="1:8" ht="12.75">
      <c r="A61" s="260">
        <v>37072</v>
      </c>
      <c r="B61" s="177">
        <v>0.076</v>
      </c>
      <c r="C61" s="232">
        <v>-988644.4635843061</v>
      </c>
      <c r="D61" s="208">
        <f t="shared" si="0"/>
        <v>0.9534256189201977</v>
      </c>
      <c r="E61" s="208">
        <f t="shared" si="0"/>
        <v>0.9683706516913698</v>
      </c>
      <c r="F61" s="208">
        <f>E43</f>
        <v>0.9842277503014198</v>
      </c>
      <c r="G61" s="209">
        <f>A61</f>
        <v>37072</v>
      </c>
      <c r="H61" s="1"/>
    </row>
    <row r="62" spans="1:8" ht="12.75">
      <c r="A62" s="261">
        <v>37164</v>
      </c>
      <c r="B62" s="177">
        <v>0.0771</v>
      </c>
      <c r="C62" s="232">
        <v>-990614.1278391791</v>
      </c>
      <c r="D62" s="208">
        <f t="shared" si="0"/>
        <v>0.9383879519895649</v>
      </c>
      <c r="E62" s="208">
        <f t="shared" si="0"/>
        <v>0.9529331349058943</v>
      </c>
      <c r="F62" s="208">
        <f t="shared" si="0"/>
        <v>0.9687042644633939</v>
      </c>
      <c r="G62" s="208">
        <f>F44</f>
        <v>0.9844457570387871</v>
      </c>
      <c r="H62" s="209">
        <f>A62</f>
        <v>37164</v>
      </c>
    </row>
    <row r="63" spans="1:9" ht="12.75">
      <c r="A63" s="257">
        <v>37256</v>
      </c>
      <c r="B63" s="177">
        <v>0.0782</v>
      </c>
      <c r="C63" s="232">
        <v>-993145.9530933846</v>
      </c>
      <c r="D63" s="208">
        <f t="shared" si="0"/>
        <v>0.9235874628966463</v>
      </c>
      <c r="E63" s="208">
        <f t="shared" si="0"/>
        <v>0.9377417190571683</v>
      </c>
      <c r="F63" s="208">
        <f t="shared" si="0"/>
        <v>0.9534256189201977</v>
      </c>
      <c r="G63" s="208">
        <f t="shared" si="0"/>
        <v>0.9691334485516706</v>
      </c>
      <c r="H63" s="208">
        <f>G45</f>
        <v>0.9813542688910698</v>
      </c>
      <c r="I63" s="209">
        <f>A63</f>
        <v>37256</v>
      </c>
    </row>
    <row r="64" spans="1:10" ht="12.75">
      <c r="A64" s="262">
        <v>37346</v>
      </c>
      <c r="B64" s="177">
        <v>0.0742</v>
      </c>
      <c r="C64" s="232">
        <v>-997522.7490127787</v>
      </c>
      <c r="D64" s="208">
        <f t="shared" si="0"/>
        <v>0.909020410813362</v>
      </c>
      <c r="E64" s="208">
        <f t="shared" si="0"/>
        <v>0.922792480867121</v>
      </c>
      <c r="F64" s="208">
        <f t="shared" si="0"/>
        <v>0.9383879519895649</v>
      </c>
      <c r="G64" s="208">
        <f t="shared" si="0"/>
        <v>0.9540593114310598</v>
      </c>
      <c r="H64" s="208">
        <f t="shared" si="0"/>
        <v>0.963056201070726</v>
      </c>
      <c r="I64" s="208">
        <f>H46</f>
        <v>0.9810894998896275</v>
      </c>
      <c r="J64" s="165">
        <f>A64</f>
        <v>37346</v>
      </c>
    </row>
    <row r="65" spans="1:10" ht="13.5" thickBot="1">
      <c r="A65" s="263">
        <v>37437</v>
      </c>
      <c r="B65" s="52" t="s">
        <v>35</v>
      </c>
      <c r="C65" s="4"/>
      <c r="D65" s="267">
        <f t="shared" si="0"/>
        <v>0.8946831139129077</v>
      </c>
      <c r="E65" s="267">
        <f t="shared" si="0"/>
        <v>0.9080815596015754</v>
      </c>
      <c r="F65" s="267">
        <f t="shared" si="0"/>
        <v>0.9235874628966463</v>
      </c>
      <c r="G65" s="267">
        <f t="shared" si="0"/>
        <v>0.9392196411016537</v>
      </c>
      <c r="H65" s="267">
        <f t="shared" si="0"/>
        <v>0.9450993141027734</v>
      </c>
      <c r="I65" s="267">
        <f>H47</f>
        <v>0.9625366067936794</v>
      </c>
      <c r="J65" s="267">
        <f>I47</f>
        <v>0.9808248737187976</v>
      </c>
    </row>
    <row r="66" spans="1:10" s="46" customFormat="1" ht="13.5" thickTop="1">
      <c r="A66" s="209"/>
      <c r="B66" s="52"/>
      <c r="C66" s="264" t="s">
        <v>273</v>
      </c>
      <c r="D66" s="265">
        <f>SUM(D59:D65)</f>
        <v>6.572036573297492</v>
      </c>
      <c r="E66" s="265">
        <f>SUM(E60:E65)</f>
        <v>5.673977802371899</v>
      </c>
      <c r="F66" s="265">
        <f>SUM(F61:F65)</f>
        <v>4.768333048571223</v>
      </c>
      <c r="G66" s="265">
        <f>SUM(G62:G65)</f>
        <v>3.846858158123171</v>
      </c>
      <c r="H66" s="265">
        <f>SUM(H63:H65)</f>
        <v>2.889509784064569</v>
      </c>
      <c r="I66" s="265">
        <f>SUM(I64:I65)</f>
        <v>1.9436261066833067</v>
      </c>
      <c r="J66" s="265">
        <f>SUM(J65)</f>
        <v>0.9808248737187976</v>
      </c>
    </row>
    <row r="67" spans="1:9" ht="18">
      <c r="A67" s="176" t="s">
        <v>245</v>
      </c>
      <c r="I67" s="213" t="s">
        <v>305</v>
      </c>
    </row>
    <row r="68" spans="6:11" ht="12.75">
      <c r="F68" s="4" t="s">
        <v>208</v>
      </c>
      <c r="G68" s="4" t="s">
        <v>201</v>
      </c>
      <c r="H68" s="1" t="s">
        <v>236</v>
      </c>
      <c r="I68" s="4" t="s">
        <v>268</v>
      </c>
      <c r="J68" s="4" t="s">
        <v>111</v>
      </c>
      <c r="K68" s="4" t="s">
        <v>111</v>
      </c>
    </row>
    <row r="69" spans="2:11" ht="12.75">
      <c r="B69" s="52" t="s">
        <v>202</v>
      </c>
      <c r="C69" s="4" t="s">
        <v>202</v>
      </c>
      <c r="D69" s="4" t="s">
        <v>203</v>
      </c>
      <c r="E69" s="4" t="s">
        <v>203</v>
      </c>
      <c r="F69" s="4" t="s">
        <v>207</v>
      </c>
      <c r="G69" s="4" t="s">
        <v>235</v>
      </c>
      <c r="H69" s="4" t="s">
        <v>43</v>
      </c>
      <c r="I69" s="4" t="s">
        <v>269</v>
      </c>
      <c r="J69" s="4" t="s">
        <v>112</v>
      </c>
      <c r="K69" s="4" t="s">
        <v>308</v>
      </c>
    </row>
    <row r="70" spans="1:11" ht="12.75">
      <c r="A70" s="4" t="s">
        <v>200</v>
      </c>
      <c r="B70" s="52" t="s">
        <v>201</v>
      </c>
      <c r="C70" s="4" t="s">
        <v>204</v>
      </c>
      <c r="D70" s="4" t="s">
        <v>201</v>
      </c>
      <c r="E70" s="4" t="s">
        <v>204</v>
      </c>
      <c r="F70" s="168" t="s">
        <v>201</v>
      </c>
      <c r="G70" s="4" t="s">
        <v>208</v>
      </c>
      <c r="H70" s="4" t="s">
        <v>237</v>
      </c>
      <c r="I70" s="4" t="s">
        <v>270</v>
      </c>
      <c r="J70" s="4" t="s">
        <v>205</v>
      </c>
      <c r="K70" s="4" t="s">
        <v>213</v>
      </c>
    </row>
    <row r="71" spans="1:11" ht="12.75">
      <c r="A71" s="256">
        <v>36708</v>
      </c>
      <c r="B71" s="166">
        <f>B57</f>
        <v>0.0641</v>
      </c>
      <c r="C71" s="166">
        <f>B57</f>
        <v>0.0641</v>
      </c>
      <c r="D71" s="167">
        <f>B71/4</f>
        <v>0.016025</v>
      </c>
      <c r="E71" s="167">
        <f>C71/4</f>
        <v>0.016025</v>
      </c>
      <c r="F71" s="167">
        <f>1+(E71-E$71)/D71</f>
        <v>1</v>
      </c>
      <c r="G71" s="4">
        <v>0</v>
      </c>
      <c r="H71" s="175">
        <f>G71</f>
        <v>0</v>
      </c>
      <c r="I71" s="175">
        <f>H71</f>
        <v>0</v>
      </c>
      <c r="J71" s="175">
        <f aca="true" t="shared" si="1" ref="J71:J78">-I71+C90</f>
        <v>-1000000</v>
      </c>
      <c r="K71" s="98">
        <f>J71-I71</f>
        <v>-1000000</v>
      </c>
    </row>
    <row r="72" spans="1:11" ht="12.75">
      <c r="A72" s="257">
        <v>36799</v>
      </c>
      <c r="B72" s="166">
        <f>B71</f>
        <v>0.0641</v>
      </c>
      <c r="C72" s="166">
        <f aca="true" t="shared" si="2" ref="C72:C78">B58</f>
        <v>0.0648</v>
      </c>
      <c r="D72" s="167">
        <f aca="true" t="shared" si="3" ref="D72:E78">B72/4</f>
        <v>0.016025</v>
      </c>
      <c r="E72" s="167">
        <f t="shared" si="3"/>
        <v>0.0162</v>
      </c>
      <c r="F72" s="167">
        <f>1+(E72-E$71)/D72</f>
        <v>1.0109204368174727</v>
      </c>
      <c r="G72" s="173">
        <f>E72-D72</f>
        <v>0.00017499999999999807</v>
      </c>
      <c r="H72" s="175">
        <f aca="true" t="shared" si="4" ref="H72:H78">G72*C91</f>
        <v>-174.99999999999807</v>
      </c>
      <c r="I72" s="175">
        <f>H72*D66</f>
        <v>-1150.1064003270483</v>
      </c>
      <c r="J72" s="175">
        <f t="shared" si="1"/>
        <v>-998849.8935996729</v>
      </c>
      <c r="K72" s="98">
        <f aca="true" t="shared" si="5" ref="K72:K78">J72+I72</f>
        <v>-1000000</v>
      </c>
    </row>
    <row r="73" spans="1:11" ht="12.75">
      <c r="A73" s="258">
        <v>36891</v>
      </c>
      <c r="B73" s="166">
        <f aca="true" t="shared" si="6" ref="B73:B78">B72</f>
        <v>0.0641</v>
      </c>
      <c r="C73" s="166">
        <f t="shared" si="2"/>
        <v>0.0641</v>
      </c>
      <c r="D73" s="167">
        <f t="shared" si="3"/>
        <v>0.016025</v>
      </c>
      <c r="E73" s="167">
        <f t="shared" si="3"/>
        <v>0.016025</v>
      </c>
      <c r="F73" s="167">
        <f aca="true" t="shared" si="7" ref="F73:F78">1+(E73-E$71)/D73</f>
        <v>1</v>
      </c>
      <c r="G73" s="173">
        <f aca="true" t="shared" si="8" ref="G73:G78">E73-D73</f>
        <v>0</v>
      </c>
      <c r="H73" s="175">
        <f t="shared" si="4"/>
        <v>0</v>
      </c>
      <c r="I73" s="175">
        <f>H73*E66</f>
        <v>0</v>
      </c>
      <c r="J73" s="175">
        <f t="shared" si="1"/>
        <v>-1000000</v>
      </c>
      <c r="K73" s="98">
        <f t="shared" si="5"/>
        <v>-1000000</v>
      </c>
    </row>
    <row r="74" spans="1:11" ht="12.75">
      <c r="A74" s="259">
        <v>36981</v>
      </c>
      <c r="B74" s="166">
        <f t="shared" si="6"/>
        <v>0.0641</v>
      </c>
      <c r="C74" s="166">
        <f t="shared" si="2"/>
        <v>0.0632</v>
      </c>
      <c r="D74" s="167">
        <f t="shared" si="3"/>
        <v>0.016025</v>
      </c>
      <c r="E74" s="167">
        <f t="shared" si="3"/>
        <v>0.0158</v>
      </c>
      <c r="F74" s="167">
        <f t="shared" si="7"/>
        <v>0.9859594383775351</v>
      </c>
      <c r="G74" s="173">
        <f t="shared" si="8"/>
        <v>-0.0002249999999999995</v>
      </c>
      <c r="H74" s="175">
        <f t="shared" si="4"/>
        <v>224.99999999999952</v>
      </c>
      <c r="I74" s="175">
        <f>H74*F66</f>
        <v>1072.8749359285227</v>
      </c>
      <c r="J74" s="175">
        <f t="shared" si="1"/>
        <v>-1001072.8749359285</v>
      </c>
      <c r="K74" s="98">
        <f t="shared" si="5"/>
        <v>-1000000</v>
      </c>
    </row>
    <row r="75" spans="1:11" ht="12.75">
      <c r="A75" s="260">
        <v>37072</v>
      </c>
      <c r="B75" s="166">
        <f t="shared" si="6"/>
        <v>0.0641</v>
      </c>
      <c r="C75" s="166">
        <f t="shared" si="2"/>
        <v>0.076</v>
      </c>
      <c r="D75" s="167">
        <f t="shared" si="3"/>
        <v>0.016025</v>
      </c>
      <c r="E75" s="167">
        <f t="shared" si="3"/>
        <v>0.019</v>
      </c>
      <c r="F75" s="167">
        <f t="shared" si="7"/>
        <v>1.1856474258970358</v>
      </c>
      <c r="G75" s="173">
        <f t="shared" si="8"/>
        <v>0.0029749999999999985</v>
      </c>
      <c r="H75" s="175">
        <f t="shared" si="4"/>
        <v>-2974.9999999999986</v>
      </c>
      <c r="I75" s="175">
        <f>H75*G66</f>
        <v>-11444.403020416428</v>
      </c>
      <c r="J75" s="175">
        <f t="shared" si="1"/>
        <v>-988555.5969795836</v>
      </c>
      <c r="K75" s="98">
        <f t="shared" si="5"/>
        <v>-1000000</v>
      </c>
    </row>
    <row r="76" spans="1:11" ht="12.75">
      <c r="A76" s="261">
        <v>37164</v>
      </c>
      <c r="B76" s="166">
        <f t="shared" si="6"/>
        <v>0.0641</v>
      </c>
      <c r="C76" s="166">
        <f t="shared" si="2"/>
        <v>0.0771</v>
      </c>
      <c r="D76" s="167">
        <f t="shared" si="3"/>
        <v>0.016025</v>
      </c>
      <c r="E76" s="167">
        <f t="shared" si="3"/>
        <v>0.019275</v>
      </c>
      <c r="F76" s="167">
        <f t="shared" si="7"/>
        <v>1.202808112324493</v>
      </c>
      <c r="G76" s="173">
        <f t="shared" si="8"/>
        <v>0.0032499999999999994</v>
      </c>
      <c r="H76" s="175">
        <f t="shared" si="4"/>
        <v>-3249.9999999999995</v>
      </c>
      <c r="I76" s="175">
        <f>H76*H66</f>
        <v>-9390.906798209848</v>
      </c>
      <c r="J76" s="175">
        <f t="shared" si="1"/>
        <v>-990609.0932017901</v>
      </c>
      <c r="K76" s="98">
        <f t="shared" si="5"/>
        <v>-1000000</v>
      </c>
    </row>
    <row r="77" spans="1:11" ht="12.75">
      <c r="A77" s="257">
        <v>37256</v>
      </c>
      <c r="B77" s="166">
        <f t="shared" si="6"/>
        <v>0.0641</v>
      </c>
      <c r="C77" s="166">
        <f t="shared" si="2"/>
        <v>0.0782</v>
      </c>
      <c r="D77" s="167">
        <f t="shared" si="3"/>
        <v>0.016025</v>
      </c>
      <c r="E77" s="167">
        <f t="shared" si="3"/>
        <v>0.01955</v>
      </c>
      <c r="F77" s="167">
        <f t="shared" si="7"/>
        <v>1.21996879875195</v>
      </c>
      <c r="G77" s="173">
        <f t="shared" si="8"/>
        <v>0.0035250000000000004</v>
      </c>
      <c r="H77" s="175">
        <f t="shared" si="4"/>
        <v>-3525.0000000000005</v>
      </c>
      <c r="I77" s="175">
        <f>H77*I66</f>
        <v>-6851.282026058657</v>
      </c>
      <c r="J77" s="175">
        <f t="shared" si="1"/>
        <v>-993148.7179739414</v>
      </c>
      <c r="K77" s="98">
        <f t="shared" si="5"/>
        <v>-1000000</v>
      </c>
    </row>
    <row r="78" spans="1:11" ht="13.5" thickBot="1">
      <c r="A78" s="262">
        <v>37346</v>
      </c>
      <c r="B78" s="166">
        <f t="shared" si="6"/>
        <v>0.0641</v>
      </c>
      <c r="C78" s="166">
        <f t="shared" si="2"/>
        <v>0.0742</v>
      </c>
      <c r="D78" s="167">
        <f t="shared" si="3"/>
        <v>0.016025</v>
      </c>
      <c r="E78" s="167">
        <f t="shared" si="3"/>
        <v>0.01855</v>
      </c>
      <c r="F78" s="167">
        <f t="shared" si="7"/>
        <v>1.1575663026521061</v>
      </c>
      <c r="G78" s="173">
        <f t="shared" si="8"/>
        <v>0.0025249999999999995</v>
      </c>
      <c r="H78" s="175">
        <f t="shared" si="4"/>
        <v>-2524.9999999999995</v>
      </c>
      <c r="I78" s="175">
        <f>H78*J66</f>
        <v>-2476.5828061399634</v>
      </c>
      <c r="J78" s="175">
        <f t="shared" si="1"/>
        <v>-997523.41719386</v>
      </c>
      <c r="K78" s="98">
        <f t="shared" si="5"/>
        <v>-1000000</v>
      </c>
    </row>
    <row r="79" spans="1:10" ht="14.25" thickBot="1" thickTop="1">
      <c r="A79" s="263">
        <v>37437</v>
      </c>
      <c r="B79" s="166" t="s">
        <v>35</v>
      </c>
      <c r="D79" s="167"/>
      <c r="E79" s="167"/>
      <c r="F79" s="167"/>
      <c r="G79" s="173"/>
      <c r="H79" s="210">
        <f>SUM(H71:H78)</f>
        <v>-12224.999999999996</v>
      </c>
      <c r="I79" s="211" t="s">
        <v>254</v>
      </c>
      <c r="J79" s="212"/>
    </row>
    <row r="80" spans="1:10" ht="13.5" thickTop="1">
      <c r="A80" s="165"/>
      <c r="B80" s="166"/>
      <c r="D80" s="167"/>
      <c r="E80" s="167"/>
      <c r="F80" s="167"/>
      <c r="G80" s="173"/>
      <c r="H80" s="236"/>
      <c r="I80" s="237"/>
      <c r="J80" s="12"/>
    </row>
    <row r="81" spans="1:10" ht="12.75">
      <c r="A81" s="165"/>
      <c r="B81" s="166"/>
      <c r="D81" s="167"/>
      <c r="E81" s="167"/>
      <c r="F81" s="167"/>
      <c r="G81" s="173"/>
      <c r="H81" s="236"/>
      <c r="I81" s="237"/>
      <c r="J81" s="12"/>
    </row>
    <row r="82" spans="1:8" ht="12.75">
      <c r="A82" s="165"/>
      <c r="B82" s="166"/>
      <c r="D82" s="167"/>
      <c r="E82" s="167"/>
      <c r="F82" s="167"/>
      <c r="G82" s="173"/>
      <c r="H82" s="174"/>
    </row>
    <row r="83" ht="18">
      <c r="A83" s="176" t="s">
        <v>246</v>
      </c>
    </row>
    <row r="84" ht="12.75">
      <c r="E84" s="24"/>
    </row>
    <row r="85" spans="4:8" ht="12.75">
      <c r="D85" s="4" t="s">
        <v>35</v>
      </c>
      <c r="E85" s="4" t="s">
        <v>35</v>
      </c>
      <c r="F85" s="4" t="s">
        <v>216</v>
      </c>
      <c r="G85" s="4" t="s">
        <v>35</v>
      </c>
      <c r="H85" s="4" t="s">
        <v>35</v>
      </c>
    </row>
    <row r="86" spans="1:10" ht="12.75">
      <c r="A86" s="138" t="s">
        <v>35</v>
      </c>
      <c r="D86" s="4" t="s">
        <v>35</v>
      </c>
      <c r="E86" s="4" t="s">
        <v>111</v>
      </c>
      <c r="F86" s="4" t="s">
        <v>217</v>
      </c>
      <c r="G86" s="4" t="s">
        <v>35</v>
      </c>
      <c r="H86" s="4" t="s">
        <v>214</v>
      </c>
      <c r="I86" s="4" t="s">
        <v>45</v>
      </c>
      <c r="J86" s="4" t="s">
        <v>183</v>
      </c>
    </row>
    <row r="87" spans="4:10" ht="12.75">
      <c r="D87" s="4" t="s">
        <v>214</v>
      </c>
      <c r="E87" s="4" t="s">
        <v>255</v>
      </c>
      <c r="F87" s="4" t="s">
        <v>218</v>
      </c>
      <c r="G87" s="4" t="s">
        <v>268</v>
      </c>
      <c r="H87" s="4" t="s">
        <v>112</v>
      </c>
      <c r="I87" s="4" t="s">
        <v>269</v>
      </c>
      <c r="J87" s="4" t="s">
        <v>112</v>
      </c>
    </row>
    <row r="88" spans="1:10" ht="12.75">
      <c r="A88" s="168"/>
      <c r="C88" s="4" t="s">
        <v>112</v>
      </c>
      <c r="D88" s="4" t="s">
        <v>112</v>
      </c>
      <c r="E88" s="4" t="s">
        <v>46</v>
      </c>
      <c r="F88" s="4" t="s">
        <v>204</v>
      </c>
      <c r="G88" s="4" t="s">
        <v>269</v>
      </c>
      <c r="H88" s="4" t="s">
        <v>46</v>
      </c>
      <c r="I88" s="4" t="s">
        <v>252</v>
      </c>
      <c r="J88" s="4" t="s">
        <v>215</v>
      </c>
    </row>
    <row r="89" spans="1:11" ht="12.75">
      <c r="A89" s="168" t="str">
        <f>A70</f>
        <v>Date</v>
      </c>
      <c r="B89" s="4" t="s">
        <v>27</v>
      </c>
      <c r="C89" s="4" t="s">
        <v>28</v>
      </c>
      <c r="D89" s="4" t="s">
        <v>215</v>
      </c>
      <c r="E89" s="170" t="s">
        <v>205</v>
      </c>
      <c r="F89" s="4" t="s">
        <v>219</v>
      </c>
      <c r="G89" s="4" t="s">
        <v>270</v>
      </c>
      <c r="H89" s="170" t="s">
        <v>213</v>
      </c>
      <c r="I89" s="4" t="s">
        <v>253</v>
      </c>
      <c r="J89" s="4" t="s">
        <v>48</v>
      </c>
      <c r="K89" s="168" t="str">
        <f>A89</f>
        <v>Date</v>
      </c>
    </row>
    <row r="90" spans="1:11" ht="12.75">
      <c r="A90" s="256">
        <f>A71</f>
        <v>36708</v>
      </c>
      <c r="B90" s="24">
        <v>0</v>
      </c>
      <c r="C90" s="138">
        <f>D90</f>
        <v>-1000000</v>
      </c>
      <c r="D90" s="138">
        <f>C57</f>
        <v>-1000000</v>
      </c>
      <c r="E90" s="138">
        <f>J71</f>
        <v>-1000000</v>
      </c>
      <c r="F90" s="138">
        <f>D90-E90</f>
        <v>0</v>
      </c>
      <c r="G90" s="138">
        <f>I71</f>
        <v>0</v>
      </c>
      <c r="H90" s="138">
        <f aca="true" t="shared" si="9" ref="H90:H97">D90+G90</f>
        <v>-1000000</v>
      </c>
      <c r="I90" s="138">
        <f>H90-C90</f>
        <v>0</v>
      </c>
      <c r="J90" s="138">
        <f>I90-G90</f>
        <v>0</v>
      </c>
      <c r="K90" s="165">
        <f aca="true" t="shared" si="10" ref="K90:K98">A90</f>
        <v>36708</v>
      </c>
    </row>
    <row r="91" spans="1:11" ht="12.75">
      <c r="A91" s="257">
        <f aca="true" t="shared" si="11" ref="A91:A96">A72</f>
        <v>36799</v>
      </c>
      <c r="B91" s="24">
        <v>1</v>
      </c>
      <c r="C91" s="138">
        <f>C90</f>
        <v>-1000000</v>
      </c>
      <c r="D91" s="138">
        <f aca="true" t="shared" si="12" ref="D91:D97">C58</f>
        <v>-998849.8935996729</v>
      </c>
      <c r="E91" s="138">
        <f aca="true" t="shared" si="13" ref="E91:E97">J72</f>
        <v>-998849.8935996729</v>
      </c>
      <c r="F91" s="138">
        <f aca="true" t="shared" si="14" ref="F91:F98">D91-E91</f>
        <v>0</v>
      </c>
      <c r="G91" s="138">
        <f aca="true" t="shared" si="15" ref="G91:G97">I72</f>
        <v>-1150.1064003270483</v>
      </c>
      <c r="H91" s="138">
        <f t="shared" si="9"/>
        <v>-1000000</v>
      </c>
      <c r="I91" s="138">
        <f aca="true" t="shared" si="16" ref="I91:I97">-(J91-G90+G91)</f>
        <v>-1.0231815394945443E-11</v>
      </c>
      <c r="J91" s="138">
        <f>D91-D90</f>
        <v>1150.1064003270585</v>
      </c>
      <c r="K91" s="165">
        <f t="shared" si="10"/>
        <v>36799</v>
      </c>
    </row>
    <row r="92" spans="1:11" ht="12.75">
      <c r="A92" s="258">
        <f t="shared" si="11"/>
        <v>36891</v>
      </c>
      <c r="B92" s="24">
        <v>2</v>
      </c>
      <c r="C92" s="138">
        <f aca="true" t="shared" si="17" ref="C92:C97">C91</f>
        <v>-1000000</v>
      </c>
      <c r="D92" s="138">
        <f t="shared" si="12"/>
        <v>-1000000</v>
      </c>
      <c r="E92" s="138">
        <f t="shared" si="13"/>
        <v>-1000000</v>
      </c>
      <c r="F92" s="138">
        <f t="shared" si="14"/>
        <v>0</v>
      </c>
      <c r="G92" s="138">
        <f t="shared" si="15"/>
        <v>0</v>
      </c>
      <c r="H92" s="138">
        <f t="shared" si="9"/>
        <v>-1000000</v>
      </c>
      <c r="I92" s="138">
        <f t="shared" si="16"/>
        <v>1.0231815394945443E-11</v>
      </c>
      <c r="J92" s="138">
        <f aca="true" t="shared" si="18" ref="J92:J97">D92-D91</f>
        <v>-1150.1064003270585</v>
      </c>
      <c r="K92" s="165">
        <f t="shared" si="10"/>
        <v>36891</v>
      </c>
    </row>
    <row r="93" spans="1:11" ht="12.75">
      <c r="A93" s="259">
        <f t="shared" si="11"/>
        <v>36981</v>
      </c>
      <c r="B93" s="24">
        <v>3</v>
      </c>
      <c r="C93" s="138">
        <f t="shared" si="17"/>
        <v>-1000000</v>
      </c>
      <c r="D93" s="138">
        <f t="shared" si="12"/>
        <v>-1001073.580513465</v>
      </c>
      <c r="E93" s="138">
        <f t="shared" si="13"/>
        <v>-1001072.8749359285</v>
      </c>
      <c r="F93" s="138">
        <f t="shared" si="14"/>
        <v>-0.7055775364860892</v>
      </c>
      <c r="G93" s="138">
        <f t="shared" si="15"/>
        <v>1072.8749359285227</v>
      </c>
      <c r="H93" s="138">
        <f t="shared" si="9"/>
        <v>-1000000.7055775365</v>
      </c>
      <c r="I93" s="138">
        <f t="shared" si="16"/>
        <v>0.7055775364626697</v>
      </c>
      <c r="J93" s="138">
        <f>D93-D92</f>
        <v>-1073.5805134649854</v>
      </c>
      <c r="K93" s="165">
        <f t="shared" si="10"/>
        <v>36981</v>
      </c>
    </row>
    <row r="94" spans="1:11" ht="12.75">
      <c r="A94" s="260">
        <f t="shared" si="11"/>
        <v>37072</v>
      </c>
      <c r="B94" s="24">
        <v>4</v>
      </c>
      <c r="C94" s="138">
        <f t="shared" si="17"/>
        <v>-1000000</v>
      </c>
      <c r="D94" s="138">
        <f t="shared" si="12"/>
        <v>-988644.4635843061</v>
      </c>
      <c r="E94" s="138">
        <f t="shared" si="13"/>
        <v>-988555.5969795836</v>
      </c>
      <c r="F94" s="138">
        <f t="shared" si="14"/>
        <v>-88.86660472245421</v>
      </c>
      <c r="G94" s="138">
        <f t="shared" si="15"/>
        <v>-11444.403020416428</v>
      </c>
      <c r="H94" s="138">
        <f t="shared" si="9"/>
        <v>-1000088.8666047225</v>
      </c>
      <c r="I94" s="138">
        <f t="shared" si="16"/>
        <v>88.1610271860336</v>
      </c>
      <c r="J94" s="138">
        <f t="shared" si="18"/>
        <v>12429.116929158918</v>
      </c>
      <c r="K94" s="165">
        <f t="shared" si="10"/>
        <v>37072</v>
      </c>
    </row>
    <row r="95" spans="1:11" ht="12.75">
      <c r="A95" s="261">
        <f t="shared" si="11"/>
        <v>37164</v>
      </c>
      <c r="B95" s="24">
        <v>5</v>
      </c>
      <c r="C95" s="138">
        <f t="shared" si="17"/>
        <v>-1000000</v>
      </c>
      <c r="D95" s="138">
        <f t="shared" si="12"/>
        <v>-990614.1278391791</v>
      </c>
      <c r="E95" s="138">
        <f t="shared" si="13"/>
        <v>-990609.0932017901</v>
      </c>
      <c r="F95" s="138">
        <f t="shared" si="14"/>
        <v>-5.034637389006093</v>
      </c>
      <c r="G95" s="138">
        <f t="shared" si="15"/>
        <v>-9390.906798209848</v>
      </c>
      <c r="H95" s="138">
        <f t="shared" si="9"/>
        <v>-1000005.034637389</v>
      </c>
      <c r="I95" s="138">
        <f t="shared" si="16"/>
        <v>-83.83196733352088</v>
      </c>
      <c r="J95" s="138">
        <f t="shared" si="18"/>
        <v>-1969.6642548730597</v>
      </c>
      <c r="K95" s="165">
        <f t="shared" si="10"/>
        <v>37164</v>
      </c>
    </row>
    <row r="96" spans="1:11" ht="12.75">
      <c r="A96" s="257">
        <f t="shared" si="11"/>
        <v>37256</v>
      </c>
      <c r="B96" s="24">
        <v>6</v>
      </c>
      <c r="C96" s="138">
        <f t="shared" si="17"/>
        <v>-1000000</v>
      </c>
      <c r="D96" s="138">
        <f t="shared" si="12"/>
        <v>-993145.9530933846</v>
      </c>
      <c r="E96" s="138">
        <f t="shared" si="13"/>
        <v>-993148.7179739414</v>
      </c>
      <c r="F96" s="138">
        <f t="shared" si="14"/>
        <v>2.764880556729622</v>
      </c>
      <c r="G96" s="138">
        <f t="shared" si="15"/>
        <v>-6851.282026058657</v>
      </c>
      <c r="H96" s="138">
        <f t="shared" si="9"/>
        <v>-999997.2351194433</v>
      </c>
      <c r="I96" s="138">
        <f t="shared" si="16"/>
        <v>-7.799517945692969</v>
      </c>
      <c r="J96" s="138">
        <f t="shared" si="18"/>
        <v>-2531.825254205498</v>
      </c>
      <c r="K96" s="165">
        <f t="shared" si="10"/>
        <v>37256</v>
      </c>
    </row>
    <row r="97" spans="1:11" ht="12.75">
      <c r="A97" s="262">
        <v>36616</v>
      </c>
      <c r="B97" s="24">
        <v>7</v>
      </c>
      <c r="C97" s="138">
        <f t="shared" si="17"/>
        <v>-1000000</v>
      </c>
      <c r="D97" s="138">
        <f t="shared" si="12"/>
        <v>-997522.7490127787</v>
      </c>
      <c r="E97" s="138">
        <f t="shared" si="13"/>
        <v>-997523.41719386</v>
      </c>
      <c r="F97" s="138">
        <f t="shared" si="14"/>
        <v>0.668181081302464</v>
      </c>
      <c r="G97" s="138">
        <f t="shared" si="15"/>
        <v>-2476.5828061399634</v>
      </c>
      <c r="H97" s="138">
        <f t="shared" si="9"/>
        <v>-999999.3318189187</v>
      </c>
      <c r="I97" s="138">
        <f t="shared" si="16"/>
        <v>2.096699475427158</v>
      </c>
      <c r="J97" s="138">
        <f t="shared" si="18"/>
        <v>-4376.795919394121</v>
      </c>
      <c r="K97" s="165">
        <f t="shared" si="10"/>
        <v>36616</v>
      </c>
    </row>
    <row r="98" spans="1:11" ht="12.75">
      <c r="A98" s="263">
        <v>36707</v>
      </c>
      <c r="B98" s="24">
        <v>8</v>
      </c>
      <c r="C98" s="138">
        <v>-1000000</v>
      </c>
      <c r="D98" s="138">
        <f>J79</f>
        <v>0</v>
      </c>
      <c r="E98" s="138">
        <v>0</v>
      </c>
      <c r="F98" s="138">
        <f t="shared" si="14"/>
        <v>0</v>
      </c>
      <c r="G98" s="138">
        <v>0</v>
      </c>
      <c r="H98" s="138">
        <v>0</v>
      </c>
      <c r="I98" s="138">
        <v>0</v>
      </c>
      <c r="J98" s="138">
        <f>I98-G98</f>
        <v>0</v>
      </c>
      <c r="K98" s="165">
        <f t="shared" si="10"/>
        <v>36707</v>
      </c>
    </row>
    <row r="99" spans="1:7" ht="12.75">
      <c r="A99" s="165"/>
      <c r="B99" s="24"/>
      <c r="C99" s="138"/>
      <c r="D99" s="138"/>
      <c r="E99" s="99"/>
      <c r="G99" s="99" t="s">
        <v>35</v>
      </c>
    </row>
    <row r="100" spans="1:5" ht="12.75">
      <c r="A100" s="169" t="s">
        <v>248</v>
      </c>
      <c r="B100" s="24"/>
      <c r="C100" s="138"/>
      <c r="D100" s="138"/>
      <c r="E100" s="99"/>
    </row>
    <row r="101" spans="1:5" ht="12.75">
      <c r="A101" s="169" t="s">
        <v>239</v>
      </c>
      <c r="B101" s="24"/>
      <c r="C101" s="138"/>
      <c r="D101" s="138"/>
      <c r="E101" s="99"/>
    </row>
    <row r="102" spans="1:6" ht="14.25">
      <c r="A102" s="169" t="s">
        <v>249</v>
      </c>
      <c r="B102" s="24"/>
      <c r="C102" s="138"/>
      <c r="D102" s="179">
        <f>CORREL(D90:D98,E90:E98)</f>
        <v>0.9999999960857444</v>
      </c>
      <c r="E102" s="178" t="s">
        <v>250</v>
      </c>
      <c r="F102" s="179">
        <f>D102^2</f>
        <v>0.9999999921714888</v>
      </c>
    </row>
    <row r="103" spans="1:5" ht="12.75">
      <c r="A103" s="169"/>
      <c r="B103" s="24"/>
      <c r="C103" s="138"/>
      <c r="D103" s="138"/>
      <c r="E103" s="99"/>
    </row>
    <row r="105" ht="15.75">
      <c r="A105" s="180" t="s">
        <v>251</v>
      </c>
    </row>
    <row r="106" ht="12.75">
      <c r="I106" s="4" t="s">
        <v>252</v>
      </c>
    </row>
    <row r="107" spans="4:9" ht="12.75">
      <c r="D107" s="24" t="s">
        <v>35</v>
      </c>
      <c r="E107" s="24" t="s">
        <v>35</v>
      </c>
      <c r="F107" s="4" t="s">
        <v>242</v>
      </c>
      <c r="G107" s="24" t="s">
        <v>35</v>
      </c>
      <c r="H107" s="24" t="s">
        <v>35</v>
      </c>
      <c r="I107" s="4" t="s">
        <v>253</v>
      </c>
    </row>
    <row r="108" spans="1:12" ht="12.75">
      <c r="A108" s="138" t="s">
        <v>35</v>
      </c>
      <c r="D108" s="4" t="s">
        <v>45</v>
      </c>
      <c r="E108" s="24" t="s">
        <v>35</v>
      </c>
      <c r="F108" s="1" t="s">
        <v>240</v>
      </c>
      <c r="G108" s="24" t="s">
        <v>35</v>
      </c>
      <c r="H108" s="4" t="s">
        <v>111</v>
      </c>
      <c r="I108" s="4" t="s">
        <v>309</v>
      </c>
      <c r="J108" s="4" t="s">
        <v>111</v>
      </c>
      <c r="K108" s="4" t="s">
        <v>214</v>
      </c>
      <c r="L108" s="4" t="s">
        <v>45</v>
      </c>
    </row>
    <row r="109" spans="1:12" ht="12.75">
      <c r="A109" s="168" t="s">
        <v>35</v>
      </c>
      <c r="D109" s="4" t="s">
        <v>269</v>
      </c>
      <c r="E109" s="4" t="s">
        <v>44</v>
      </c>
      <c r="F109" s="1" t="s">
        <v>241</v>
      </c>
      <c r="G109" s="4" t="s">
        <v>211</v>
      </c>
      <c r="H109" s="4" t="s">
        <v>112</v>
      </c>
      <c r="I109" s="4" t="s">
        <v>268</v>
      </c>
      <c r="J109" s="4" t="s">
        <v>112</v>
      </c>
      <c r="K109" s="4" t="s">
        <v>112</v>
      </c>
      <c r="L109" s="4" t="s">
        <v>269</v>
      </c>
    </row>
    <row r="110" spans="1:12" ht="12.75">
      <c r="A110" s="168"/>
      <c r="C110" s="4" t="s">
        <v>112</v>
      </c>
      <c r="D110" s="4" t="s">
        <v>43</v>
      </c>
      <c r="E110" s="4" t="s">
        <v>210</v>
      </c>
      <c r="F110" s="1" t="s">
        <v>44</v>
      </c>
      <c r="G110" s="4" t="s">
        <v>121</v>
      </c>
      <c r="H110" s="4" t="s">
        <v>206</v>
      </c>
      <c r="I110" s="4" t="s">
        <v>269</v>
      </c>
      <c r="J110" s="4" t="s">
        <v>46</v>
      </c>
      <c r="K110" s="4" t="s">
        <v>46</v>
      </c>
      <c r="L110" s="4" t="s">
        <v>252</v>
      </c>
    </row>
    <row r="111" spans="1:12" ht="12.75">
      <c r="A111" s="168"/>
      <c r="B111" s="4" t="s">
        <v>27</v>
      </c>
      <c r="C111" s="4" t="s">
        <v>28</v>
      </c>
      <c r="D111" s="4" t="s">
        <v>270</v>
      </c>
      <c r="E111" s="4" t="s">
        <v>48</v>
      </c>
      <c r="F111" s="4" t="s">
        <v>210</v>
      </c>
      <c r="G111" s="4" t="s">
        <v>212</v>
      </c>
      <c r="H111" s="4" t="s">
        <v>205</v>
      </c>
      <c r="I111" s="4" t="s">
        <v>270</v>
      </c>
      <c r="J111" s="4" t="s">
        <v>213</v>
      </c>
      <c r="K111" s="170" t="s">
        <v>213</v>
      </c>
      <c r="L111" s="4" t="s">
        <v>253</v>
      </c>
    </row>
    <row r="112" spans="1:12" ht="12.75">
      <c r="A112" s="256">
        <v>36708</v>
      </c>
      <c r="B112" s="24">
        <v>0</v>
      </c>
      <c r="C112" s="138">
        <v>-1000000</v>
      </c>
      <c r="D112" s="138">
        <f>G90</f>
        <v>0</v>
      </c>
      <c r="E112" s="138">
        <v>0</v>
      </c>
      <c r="F112" s="138">
        <f>-(H71+E112)</f>
        <v>0</v>
      </c>
      <c r="G112" s="138">
        <v>0</v>
      </c>
      <c r="H112" s="99">
        <f>C112</f>
        <v>-1000000</v>
      </c>
      <c r="I112" s="138">
        <f>D112</f>
        <v>0</v>
      </c>
      <c r="J112" s="99">
        <f>H112+I112</f>
        <v>-1000000</v>
      </c>
      <c r="K112" s="99">
        <f>H90</f>
        <v>-1000000</v>
      </c>
      <c r="L112" s="99">
        <f>I90</f>
        <v>0</v>
      </c>
    </row>
    <row r="113" spans="1:12" ht="12.75">
      <c r="A113" s="257">
        <v>36799</v>
      </c>
      <c r="B113" s="24">
        <v>1</v>
      </c>
      <c r="C113" s="138">
        <v>-1000000</v>
      </c>
      <c r="D113" s="138">
        <f aca="true" t="shared" si="19" ref="D113:D119">G91</f>
        <v>-1150.1064003270483</v>
      </c>
      <c r="E113" s="138">
        <v>0</v>
      </c>
      <c r="F113" s="138">
        <f aca="true" t="shared" si="20" ref="F113:F120">-(H71+E113)</f>
        <v>0</v>
      </c>
      <c r="G113" s="138">
        <f aca="true" t="shared" si="21" ref="G113:G119">-(D112-D113+E113)</f>
        <v>-1150.1064003270483</v>
      </c>
      <c r="H113" s="99">
        <f aca="true" t="shared" si="22" ref="H113:H119">H112-E113-G113</f>
        <v>-998849.8935996729</v>
      </c>
      <c r="I113" s="138">
        <f aca="true" t="shared" si="23" ref="I113:I119">D113</f>
        <v>-1150.1064003270483</v>
      </c>
      <c r="J113" s="99">
        <f aca="true" t="shared" si="24" ref="J113:J119">H113+I113</f>
        <v>-1000000</v>
      </c>
      <c r="K113" s="99">
        <f aca="true" t="shared" si="25" ref="K113:L119">H91</f>
        <v>-1000000</v>
      </c>
      <c r="L113" s="99">
        <f t="shared" si="25"/>
        <v>-1.0231815394945443E-11</v>
      </c>
    </row>
    <row r="114" spans="1:12" ht="12.75">
      <c r="A114" s="258">
        <v>36891</v>
      </c>
      <c r="B114" s="24">
        <v>2</v>
      </c>
      <c r="C114" s="138">
        <v>-1000000</v>
      </c>
      <c r="D114" s="138">
        <f t="shared" si="19"/>
        <v>0</v>
      </c>
      <c r="E114" s="138">
        <f aca="true" t="shared" si="26" ref="E114:E120">-PMT(E71,B$98-B91,0,-D113)</f>
        <v>156.56954493475703</v>
      </c>
      <c r="F114" s="138">
        <f t="shared" si="20"/>
        <v>18.430455065241034</v>
      </c>
      <c r="G114" s="138">
        <f t="shared" si="21"/>
        <v>993.5368553922913</v>
      </c>
      <c r="H114" s="99">
        <f t="shared" si="22"/>
        <v>-1000000</v>
      </c>
      <c r="I114" s="138">
        <f t="shared" si="23"/>
        <v>0</v>
      </c>
      <c r="J114" s="99">
        <f t="shared" si="24"/>
        <v>-1000000</v>
      </c>
      <c r="K114" s="99">
        <f t="shared" si="25"/>
        <v>-1000000</v>
      </c>
      <c r="L114" s="99">
        <f t="shared" si="25"/>
        <v>1.0231815394945443E-11</v>
      </c>
    </row>
    <row r="115" spans="1:12" ht="12.75">
      <c r="A115" s="259">
        <v>36981</v>
      </c>
      <c r="B115" s="24">
        <v>3</v>
      </c>
      <c r="C115" s="138">
        <v>-1000000</v>
      </c>
      <c r="D115" s="138">
        <f t="shared" si="19"/>
        <v>1072.8749359285227</v>
      </c>
      <c r="E115" s="138">
        <f t="shared" si="26"/>
        <v>0</v>
      </c>
      <c r="F115" s="138">
        <f t="shared" si="20"/>
        <v>0</v>
      </c>
      <c r="G115" s="138">
        <f t="shared" si="21"/>
        <v>1072.8749359285227</v>
      </c>
      <c r="H115" s="99">
        <f t="shared" si="22"/>
        <v>-1001072.8749359285</v>
      </c>
      <c r="I115" s="138">
        <f t="shared" si="23"/>
        <v>1072.8749359285227</v>
      </c>
      <c r="J115" s="99">
        <f t="shared" si="24"/>
        <v>-1000000</v>
      </c>
      <c r="K115" s="99">
        <f t="shared" si="25"/>
        <v>-1000000.7055775365</v>
      </c>
      <c r="L115" s="99">
        <f t="shared" si="25"/>
        <v>0.7055775364626697</v>
      </c>
    </row>
    <row r="116" spans="1:12" ht="12.75">
      <c r="A116" s="260">
        <v>37072</v>
      </c>
      <c r="B116" s="24">
        <v>4</v>
      </c>
      <c r="C116" s="138">
        <v>-1000000</v>
      </c>
      <c r="D116" s="138">
        <f t="shared" si="19"/>
        <v>-11444.403020416428</v>
      </c>
      <c r="E116" s="138">
        <f t="shared" si="26"/>
        <v>-207.80717915174517</v>
      </c>
      <c r="F116" s="138">
        <f t="shared" si="20"/>
        <v>-17.192820848254343</v>
      </c>
      <c r="G116" s="138">
        <f t="shared" si="21"/>
        <v>-12309.470777193206</v>
      </c>
      <c r="H116" s="99">
        <f t="shared" si="22"/>
        <v>-988555.5969795835</v>
      </c>
      <c r="I116" s="138">
        <f t="shared" si="23"/>
        <v>-11444.403020416428</v>
      </c>
      <c r="J116" s="99">
        <f t="shared" si="24"/>
        <v>-999999.9999999999</v>
      </c>
      <c r="K116" s="99">
        <f t="shared" si="25"/>
        <v>-1000088.8666047225</v>
      </c>
      <c r="L116" s="99">
        <f t="shared" si="25"/>
        <v>88.1610271860336</v>
      </c>
    </row>
    <row r="117" spans="1:12" ht="12.75">
      <c r="A117" s="261">
        <v>37164</v>
      </c>
      <c r="B117" s="24">
        <v>5</v>
      </c>
      <c r="C117" s="138">
        <v>-1000000</v>
      </c>
      <c r="D117" s="138">
        <f t="shared" si="19"/>
        <v>-9390.906798209848</v>
      </c>
      <c r="E117" s="138">
        <f t="shared" si="26"/>
        <v>2794.1784322774106</v>
      </c>
      <c r="F117" s="138">
        <f t="shared" si="20"/>
        <v>180.82156772258804</v>
      </c>
      <c r="G117" s="138">
        <f t="shared" si="21"/>
        <v>-740.68221007083</v>
      </c>
      <c r="H117" s="99">
        <f t="shared" si="22"/>
        <v>-990609.0932017901</v>
      </c>
      <c r="I117" s="138">
        <f t="shared" si="23"/>
        <v>-9390.906798209848</v>
      </c>
      <c r="J117" s="99">
        <f t="shared" si="24"/>
        <v>-1000000</v>
      </c>
      <c r="K117" s="99">
        <f t="shared" si="25"/>
        <v>-1000005.034637389</v>
      </c>
      <c r="L117" s="99">
        <f t="shared" si="25"/>
        <v>-83.83196733352088</v>
      </c>
    </row>
    <row r="118" spans="1:12" ht="12.75">
      <c r="A118" s="257">
        <v>37256</v>
      </c>
      <c r="B118" s="24">
        <v>6</v>
      </c>
      <c r="C118" s="138">
        <v>-1000000</v>
      </c>
      <c r="D118" s="138">
        <f t="shared" si="19"/>
        <v>-6851.282026058657</v>
      </c>
      <c r="E118" s="138">
        <f t="shared" si="26"/>
        <v>3071.5727708340205</v>
      </c>
      <c r="F118" s="138">
        <f t="shared" si="20"/>
        <v>178.42722916597904</v>
      </c>
      <c r="G118" s="138">
        <f t="shared" si="21"/>
        <v>-531.9479986828296</v>
      </c>
      <c r="H118" s="99">
        <f t="shared" si="22"/>
        <v>-993148.7179739412</v>
      </c>
      <c r="I118" s="138">
        <f t="shared" si="23"/>
        <v>-6851.282026058657</v>
      </c>
      <c r="J118" s="99">
        <f t="shared" si="24"/>
        <v>-999999.9999999999</v>
      </c>
      <c r="K118" s="99">
        <f t="shared" si="25"/>
        <v>-999997.2351194433</v>
      </c>
      <c r="L118" s="99">
        <f t="shared" si="25"/>
        <v>-7.799517945692969</v>
      </c>
    </row>
    <row r="119" spans="1:12" ht="12.75">
      <c r="A119" s="262">
        <v>37346</v>
      </c>
      <c r="B119" s="24">
        <v>7</v>
      </c>
      <c r="C119" s="138">
        <v>-1000000</v>
      </c>
      <c r="D119" s="138">
        <f t="shared" si="19"/>
        <v>-2476.5828061399634</v>
      </c>
      <c r="E119" s="138">
        <f t="shared" si="26"/>
        <v>3392.9415389477235</v>
      </c>
      <c r="F119" s="138">
        <f t="shared" si="20"/>
        <v>132.05846105227693</v>
      </c>
      <c r="G119" s="138">
        <f t="shared" si="21"/>
        <v>981.7576809709699</v>
      </c>
      <c r="H119" s="99">
        <f t="shared" si="22"/>
        <v>-997523.4171938599</v>
      </c>
      <c r="I119" s="138">
        <f t="shared" si="23"/>
        <v>-2476.5828061399634</v>
      </c>
      <c r="J119" s="99">
        <f t="shared" si="24"/>
        <v>-999999.9999999999</v>
      </c>
      <c r="K119" s="99">
        <f t="shared" si="25"/>
        <v>-999999.3318189187</v>
      </c>
      <c r="L119" s="99">
        <f t="shared" si="25"/>
        <v>2.096699475427158</v>
      </c>
    </row>
    <row r="120" spans="1:12" ht="12.75">
      <c r="A120" s="263">
        <v>37437</v>
      </c>
      <c r="B120" s="24">
        <v>8</v>
      </c>
      <c r="C120" s="138">
        <v>-1000000</v>
      </c>
      <c r="D120" s="138">
        <v>0</v>
      </c>
      <c r="E120" s="138">
        <f t="shared" si="26"/>
        <v>2476.5828061399693</v>
      </c>
      <c r="F120" s="138">
        <f t="shared" si="20"/>
        <v>48.41719386003024</v>
      </c>
      <c r="G120" s="138">
        <f>D119+D120+E120</f>
        <v>5.9117155615240335E-12</v>
      </c>
      <c r="H120" s="99">
        <v>0</v>
      </c>
      <c r="I120" s="138">
        <f>-D120</f>
        <v>0</v>
      </c>
      <c r="J120" s="99">
        <f>H120+I120</f>
        <v>0</v>
      </c>
      <c r="K120" s="99">
        <f>H98</f>
        <v>0</v>
      </c>
      <c r="L120" s="99">
        <f>I98</f>
        <v>0</v>
      </c>
    </row>
    <row r="121" spans="4:8" ht="12.75">
      <c r="D121" s="213" t="s">
        <v>306</v>
      </c>
      <c r="H121" s="99" t="s">
        <v>35</v>
      </c>
    </row>
    <row r="123" s="172" customFormat="1" ht="12.75"/>
    <row r="125" ht="18">
      <c r="A125" s="176" t="s">
        <v>243</v>
      </c>
    </row>
    <row r="127" ht="12.75">
      <c r="A127" t="s">
        <v>328</v>
      </c>
    </row>
    <row r="128" ht="12.75">
      <c r="A128" t="s">
        <v>329</v>
      </c>
    </row>
    <row r="129" ht="12.75">
      <c r="A129" t="s">
        <v>334</v>
      </c>
    </row>
    <row r="130" ht="12.75">
      <c r="A130" t="s">
        <v>330</v>
      </c>
    </row>
    <row r="131" ht="12.75">
      <c r="A131" t="s">
        <v>335</v>
      </c>
    </row>
    <row r="133" ht="12.75">
      <c r="F133" s="49" t="s">
        <v>36</v>
      </c>
    </row>
    <row r="134" spans="1:10" ht="12.75">
      <c r="A134" s="13" t="s">
        <v>35</v>
      </c>
      <c r="B134" s="13"/>
      <c r="C134" s="13"/>
      <c r="D134" s="13"/>
      <c r="E134" s="13"/>
      <c r="F134" s="186" t="s">
        <v>124</v>
      </c>
      <c r="G134" s="47" t="s">
        <v>37</v>
      </c>
      <c r="I134" s="1"/>
      <c r="J134" s="2"/>
    </row>
    <row r="135" spans="1:10" ht="12.75">
      <c r="A135" s="181">
        <f>A71</f>
        <v>36708</v>
      </c>
      <c r="B135" s="1" t="s">
        <v>38</v>
      </c>
      <c r="C135" s="1"/>
      <c r="D135" s="1"/>
      <c r="F135" s="182">
        <f>-C57</f>
        <v>1000000</v>
      </c>
      <c r="G135" s="182">
        <f>F135</f>
        <v>1000000</v>
      </c>
      <c r="I135" s="1"/>
      <c r="J135" s="2"/>
    </row>
    <row r="136" spans="2:10" ht="12.75">
      <c r="B136" s="1" t="s">
        <v>24</v>
      </c>
      <c r="D136" s="1"/>
      <c r="F136" s="183">
        <f>-F135</f>
        <v>-1000000</v>
      </c>
      <c r="G136" s="183">
        <f>F136</f>
        <v>-1000000</v>
      </c>
      <c r="I136" s="1"/>
      <c r="J136" s="2"/>
    </row>
    <row r="137" spans="2:10" ht="12.75">
      <c r="B137" s="14" t="s">
        <v>113</v>
      </c>
      <c r="F137" s="183"/>
      <c r="G137" s="183"/>
      <c r="I137" s="1"/>
      <c r="J137" s="2"/>
    </row>
    <row r="138" spans="6:10" ht="12.75">
      <c r="F138" s="184"/>
      <c r="G138" s="184"/>
      <c r="I138" s="1"/>
      <c r="J138" s="2"/>
    </row>
    <row r="139" spans="1:10" ht="12.75">
      <c r="A139" s="181">
        <f>A71</f>
        <v>36708</v>
      </c>
      <c r="B139" s="1" t="s">
        <v>38</v>
      </c>
      <c r="C139" s="1"/>
      <c r="D139" s="1"/>
      <c r="E139" s="1"/>
      <c r="F139" s="183">
        <f>I71</f>
        <v>0</v>
      </c>
      <c r="G139" s="183">
        <f>G135+F139</f>
        <v>1000000</v>
      </c>
      <c r="I139" s="1"/>
      <c r="J139" s="2"/>
    </row>
    <row r="140" spans="2:10" ht="12.75">
      <c r="B140" s="1" t="s">
        <v>39</v>
      </c>
      <c r="D140" s="1"/>
      <c r="E140" s="1"/>
      <c r="F140" s="185">
        <f>-F139</f>
        <v>0</v>
      </c>
      <c r="G140" s="185">
        <f>G136+F140</f>
        <v>-1000000</v>
      </c>
      <c r="I140" s="1"/>
      <c r="J140" s="2"/>
    </row>
    <row r="141" spans="2:10" ht="12.75">
      <c r="B141" s="14" t="s">
        <v>40</v>
      </c>
      <c r="H141" s="9"/>
      <c r="I141" s="9"/>
      <c r="J141" s="10"/>
    </row>
    <row r="142" spans="2:10" ht="12.75">
      <c r="B142" s="14"/>
      <c r="H142" s="9"/>
      <c r="I142" s="9"/>
      <c r="J142" s="10"/>
    </row>
    <row r="143" spans="1:10" ht="13.5" thickBot="1">
      <c r="A143" s="18"/>
      <c r="B143" s="19"/>
      <c r="C143" s="18"/>
      <c r="D143" s="18"/>
      <c r="E143" s="18"/>
      <c r="F143" s="18"/>
      <c r="G143" s="18"/>
      <c r="H143" s="20"/>
      <c r="I143" s="51"/>
      <c r="J143" s="50"/>
    </row>
    <row r="144" spans="6:7" ht="13.5" thickTop="1">
      <c r="F144" s="215" t="s">
        <v>36</v>
      </c>
      <c r="G144" s="219"/>
    </row>
    <row r="145" spans="1:7" ht="13.5" thickBot="1">
      <c r="A145" s="25"/>
      <c r="B145" s="25"/>
      <c r="C145" s="23"/>
      <c r="D145" s="25"/>
      <c r="E145" s="27"/>
      <c r="F145" s="216" t="s">
        <v>124</v>
      </c>
      <c r="G145" s="218" t="s">
        <v>37</v>
      </c>
    </row>
    <row r="146" spans="1:8" ht="13.5" thickTop="1">
      <c r="A146" s="187">
        <f>A72</f>
        <v>36799</v>
      </c>
      <c r="B146" s="30" t="s">
        <v>59</v>
      </c>
      <c r="C146" s="21"/>
      <c r="D146" s="21"/>
      <c r="E146" s="21"/>
      <c r="F146" s="183">
        <f>-C$57*(B$57/4)</f>
        <v>16025.000000000002</v>
      </c>
      <c r="G146" s="183">
        <f>G142+F146</f>
        <v>16025.000000000002</v>
      </c>
      <c r="H146" s="220">
        <f>A146</f>
        <v>36799</v>
      </c>
    </row>
    <row r="147" spans="1:7" ht="12.75">
      <c r="A147" s="21"/>
      <c r="B147" s="1" t="s">
        <v>38</v>
      </c>
      <c r="C147" s="21"/>
      <c r="D147" s="21"/>
      <c r="E147" s="21"/>
      <c r="F147" s="183">
        <f>-F146</f>
        <v>-16025.000000000002</v>
      </c>
      <c r="G147" s="183">
        <f>G139+F147</f>
        <v>983975</v>
      </c>
    </row>
    <row r="148" spans="1:7" ht="12.75">
      <c r="A148" s="21"/>
      <c r="B148" s="22" t="s">
        <v>331</v>
      </c>
      <c r="C148" s="21"/>
      <c r="D148" s="21"/>
      <c r="E148" s="21"/>
      <c r="F148" s="183"/>
      <c r="G148" s="183"/>
    </row>
    <row r="149" spans="1:7" ht="12.75">
      <c r="A149" s="21"/>
      <c r="B149" s="22"/>
      <c r="C149" s="21"/>
      <c r="D149" s="21"/>
      <c r="E149" s="21"/>
      <c r="F149" s="183"/>
      <c r="G149" s="183"/>
    </row>
    <row r="150" spans="1:8" ht="12.75">
      <c r="A150" s="187">
        <f>A146</f>
        <v>36799</v>
      </c>
      <c r="B150" s="30" t="s">
        <v>59</v>
      </c>
      <c r="C150" s="21"/>
      <c r="D150" s="21"/>
      <c r="E150" s="21"/>
      <c r="F150" s="183">
        <f>-H71</f>
        <v>0</v>
      </c>
      <c r="G150" s="183">
        <f>F150+G146</f>
        <v>16025.000000000002</v>
      </c>
      <c r="H150" s="220">
        <f>H146</f>
        <v>36799</v>
      </c>
    </row>
    <row r="151" spans="1:7" ht="12.75">
      <c r="A151" s="21"/>
      <c r="B151" s="1" t="s">
        <v>38</v>
      </c>
      <c r="C151" s="21"/>
      <c r="D151" s="21"/>
      <c r="E151" s="21"/>
      <c r="F151" s="183">
        <f>-F150</f>
        <v>0</v>
      </c>
      <c r="G151" s="183">
        <f>F151+G147</f>
        <v>983975</v>
      </c>
    </row>
    <row r="152" spans="1:7" ht="12.75">
      <c r="A152" s="21"/>
      <c r="B152" s="22" t="s">
        <v>307</v>
      </c>
      <c r="C152" s="21"/>
      <c r="D152" s="21"/>
      <c r="E152" s="21"/>
      <c r="F152" s="183"/>
      <c r="G152" s="183"/>
    </row>
    <row r="153" spans="1:7" ht="12.75">
      <c r="A153" s="21"/>
      <c r="B153" s="22"/>
      <c r="C153" s="21"/>
      <c r="D153" s="3" t="s">
        <v>35</v>
      </c>
      <c r="E153" s="21"/>
      <c r="F153" s="183"/>
      <c r="G153" s="183"/>
    </row>
    <row r="154" spans="1:8" ht="12.75">
      <c r="A154" s="187">
        <f>A146</f>
        <v>36799</v>
      </c>
      <c r="B154" s="30" t="s">
        <v>320</v>
      </c>
      <c r="C154" s="21"/>
      <c r="D154" s="21"/>
      <c r="E154" s="21"/>
      <c r="F154" s="183">
        <f>G154</f>
        <v>1150.1064003270585</v>
      </c>
      <c r="G154" s="183">
        <f>C58-C$57</f>
        <v>1150.1064003270585</v>
      </c>
      <c r="H154" s="220">
        <f>H146</f>
        <v>36799</v>
      </c>
    </row>
    <row r="155" spans="2:7" ht="12.75">
      <c r="B155" s="1" t="s">
        <v>39</v>
      </c>
      <c r="C155" s="21"/>
      <c r="D155" s="21"/>
      <c r="E155" s="21"/>
      <c r="F155" s="183">
        <f>G155</f>
        <v>-1150.1064003270483</v>
      </c>
      <c r="G155" s="183">
        <f>G91</f>
        <v>-1150.1064003270483</v>
      </c>
    </row>
    <row r="156" spans="2:7" ht="12.75">
      <c r="B156" s="1" t="s">
        <v>336</v>
      </c>
      <c r="C156" s="21"/>
      <c r="D156" s="21"/>
      <c r="E156" s="21"/>
      <c r="F156" s="183">
        <f>-(F155+F154)</f>
        <v>-1.0231815394945443E-11</v>
      </c>
      <c r="G156" s="183">
        <f>F156+G150</f>
        <v>16024.99999999999</v>
      </c>
    </row>
    <row r="157" spans="2:7" ht="12.75">
      <c r="B157" s="22" t="s">
        <v>332</v>
      </c>
      <c r="C157" s="21"/>
      <c r="D157" s="21"/>
      <c r="E157" s="21"/>
      <c r="F157" s="183"/>
      <c r="G157" s="183"/>
    </row>
    <row r="158" spans="2:7" ht="12.75">
      <c r="B158" s="31"/>
      <c r="C158" s="1"/>
      <c r="D158" s="1"/>
      <c r="E158" s="1"/>
      <c r="F158" s="183"/>
      <c r="G158" s="183"/>
    </row>
    <row r="159" spans="1:8" ht="12.75">
      <c r="A159" s="187">
        <f>A146</f>
        <v>36799</v>
      </c>
      <c r="B159" s="1" t="s">
        <v>50</v>
      </c>
      <c r="C159" s="1"/>
      <c r="D159" s="1"/>
      <c r="E159" s="1"/>
      <c r="F159" s="183">
        <f>-F160</f>
        <v>16024.99999999999</v>
      </c>
      <c r="G159" s="183">
        <f>F159</f>
        <v>16024.99999999999</v>
      </c>
      <c r="H159" s="220">
        <f>H146</f>
        <v>36799</v>
      </c>
    </row>
    <row r="160" spans="2:7" ht="12.75">
      <c r="B160" s="1" t="s">
        <v>59</v>
      </c>
      <c r="C160" s="1"/>
      <c r="D160" s="1"/>
      <c r="E160" s="1"/>
      <c r="F160" s="183">
        <f>-G156</f>
        <v>-16024.99999999999</v>
      </c>
      <c r="G160" s="183">
        <f>G156+F160</f>
        <v>0</v>
      </c>
    </row>
    <row r="161" spans="2:7" ht="12.75">
      <c r="B161" s="14" t="s">
        <v>60</v>
      </c>
      <c r="C161" s="1"/>
      <c r="D161" s="1"/>
      <c r="E161" s="1"/>
      <c r="F161" s="185"/>
      <c r="G161" s="185"/>
    </row>
    <row r="162" spans="6:8" ht="12.75">
      <c r="F162" s="12"/>
      <c r="G162" s="12"/>
      <c r="H162" s="16"/>
    </row>
    <row r="163" spans="1:8" ht="13.5" thickBot="1">
      <c r="A163" s="18"/>
      <c r="B163" s="19"/>
      <c r="C163" s="18"/>
      <c r="D163" s="18"/>
      <c r="E163" s="18"/>
      <c r="F163" s="18"/>
      <c r="G163" s="18"/>
      <c r="H163" s="20"/>
    </row>
    <row r="164" spans="6:7" ht="13.5" thickTop="1">
      <c r="F164" s="215" t="s">
        <v>36</v>
      </c>
      <c r="G164" s="217"/>
    </row>
    <row r="165" spans="1:7" ht="13.5" thickBot="1">
      <c r="A165" s="25"/>
      <c r="B165" s="25"/>
      <c r="C165" s="23"/>
      <c r="D165" s="25"/>
      <c r="E165" s="27"/>
      <c r="F165" s="216" t="s">
        <v>124</v>
      </c>
      <c r="G165" s="218" t="s">
        <v>37</v>
      </c>
    </row>
    <row r="166" spans="1:8" ht="13.5" thickTop="1">
      <c r="A166" s="214">
        <f>A73</f>
        <v>36891</v>
      </c>
      <c r="B166" s="30" t="s">
        <v>59</v>
      </c>
      <c r="C166" s="21"/>
      <c r="D166" s="21"/>
      <c r="E166" s="21"/>
      <c r="F166" s="183">
        <f>-C$57*(B$57/4)</f>
        <v>16025.000000000002</v>
      </c>
      <c r="G166" s="183">
        <f>F166</f>
        <v>16025.000000000002</v>
      </c>
      <c r="H166" s="221">
        <f>A166</f>
        <v>36891</v>
      </c>
    </row>
    <row r="167" spans="1:7" ht="12.75">
      <c r="A167" s="21"/>
      <c r="B167" s="1" t="s">
        <v>38</v>
      </c>
      <c r="C167" s="21"/>
      <c r="D167" s="21"/>
      <c r="E167" s="21"/>
      <c r="F167" s="183">
        <f>-F166</f>
        <v>-16025.000000000002</v>
      </c>
      <c r="G167" s="183">
        <f>F167+G151</f>
        <v>967950</v>
      </c>
    </row>
    <row r="168" spans="1:7" ht="12.75">
      <c r="A168" s="21"/>
      <c r="B168" s="22" t="s">
        <v>331</v>
      </c>
      <c r="C168" s="21"/>
      <c r="D168" s="21"/>
      <c r="E168" s="21"/>
      <c r="F168" s="183"/>
      <c r="G168" s="183"/>
    </row>
    <row r="169" spans="1:7" ht="12.75">
      <c r="A169" s="21"/>
      <c r="B169" s="22"/>
      <c r="C169" s="21"/>
      <c r="D169" s="21"/>
      <c r="E169" s="21"/>
      <c r="F169" s="183"/>
      <c r="G169" s="183"/>
    </row>
    <row r="170" spans="1:8" ht="12.75">
      <c r="A170" s="214">
        <f>A166</f>
        <v>36891</v>
      </c>
      <c r="B170" s="30" t="s">
        <v>59</v>
      </c>
      <c r="C170" s="21"/>
      <c r="D170" s="21"/>
      <c r="E170" s="21"/>
      <c r="F170" s="183">
        <f>-H72</f>
        <v>174.99999999999807</v>
      </c>
      <c r="G170" s="183">
        <f>F170+G166</f>
        <v>16200</v>
      </c>
      <c r="H170" s="221">
        <f>H166</f>
        <v>36891</v>
      </c>
    </row>
    <row r="171" spans="1:7" ht="12.75">
      <c r="A171" s="21"/>
      <c r="B171" s="1" t="s">
        <v>38</v>
      </c>
      <c r="C171" s="21"/>
      <c r="D171" s="21"/>
      <c r="E171" s="21"/>
      <c r="F171" s="183">
        <f>-F170</f>
        <v>-174.99999999999807</v>
      </c>
      <c r="G171" s="183">
        <f>F171+G167</f>
        <v>967775</v>
      </c>
    </row>
    <row r="172" spans="1:7" ht="12.75">
      <c r="A172" s="21"/>
      <c r="B172" s="22" t="s">
        <v>307</v>
      </c>
      <c r="C172" s="21"/>
      <c r="D172" s="21"/>
      <c r="E172" s="21"/>
      <c r="F172" s="183"/>
      <c r="G172" s="183"/>
    </row>
    <row r="173" spans="1:7" ht="12.75">
      <c r="A173" s="21"/>
      <c r="B173" s="22"/>
      <c r="C173" s="21"/>
      <c r="D173" s="3" t="s">
        <v>35</v>
      </c>
      <c r="E173" s="21"/>
      <c r="F173" s="183"/>
      <c r="G173" s="183"/>
    </row>
    <row r="174" spans="1:8" ht="12.75">
      <c r="A174" s="214">
        <f>A166</f>
        <v>36891</v>
      </c>
      <c r="B174" s="30" t="s">
        <v>320</v>
      </c>
      <c r="C174" s="21"/>
      <c r="D174" s="21"/>
      <c r="E174" s="21"/>
      <c r="F174" s="183">
        <f>G174-G154</f>
        <v>-1150.1064003270585</v>
      </c>
      <c r="G174" s="183">
        <f>C59-C$57</f>
        <v>0</v>
      </c>
      <c r="H174" s="221">
        <f>H166</f>
        <v>36891</v>
      </c>
    </row>
    <row r="175" spans="2:7" ht="12.75">
      <c r="B175" s="1" t="s">
        <v>39</v>
      </c>
      <c r="C175" s="21"/>
      <c r="D175" s="21"/>
      <c r="E175" s="21"/>
      <c r="F175" s="183">
        <f>G175-G91</f>
        <v>1150.1064003270483</v>
      </c>
      <c r="G175" s="183">
        <f>G92</f>
        <v>0</v>
      </c>
    </row>
    <row r="176" spans="2:7" ht="12.75">
      <c r="B176" s="1" t="s">
        <v>336</v>
      </c>
      <c r="C176" s="21"/>
      <c r="D176" s="21"/>
      <c r="E176" s="21"/>
      <c r="F176" s="183">
        <f>-(F174+F175)</f>
        <v>1.0231815394945443E-11</v>
      </c>
      <c r="G176" s="183">
        <f>F176+G170</f>
        <v>16200.000000000011</v>
      </c>
    </row>
    <row r="177" spans="2:7" ht="12.75">
      <c r="B177" s="22" t="s">
        <v>332</v>
      </c>
      <c r="C177" s="21"/>
      <c r="D177" s="21"/>
      <c r="E177" s="21"/>
      <c r="F177" s="183"/>
      <c r="G177" s="183"/>
    </row>
    <row r="178" spans="2:7" ht="12.75">
      <c r="B178" s="31"/>
      <c r="C178" s="1"/>
      <c r="D178" s="1"/>
      <c r="E178" s="1"/>
      <c r="F178" s="183"/>
      <c r="G178" s="183"/>
    </row>
    <row r="179" spans="1:8" ht="12.75">
      <c r="A179" s="214">
        <f>A166</f>
        <v>36891</v>
      </c>
      <c r="B179" s="1" t="s">
        <v>50</v>
      </c>
      <c r="C179" s="1"/>
      <c r="D179" s="1"/>
      <c r="E179" s="1"/>
      <c r="F179" s="183">
        <f>-F180</f>
        <v>16200.000000000011</v>
      </c>
      <c r="G179" s="183">
        <f>F179+G159</f>
        <v>32225</v>
      </c>
      <c r="H179" s="221">
        <f>H166</f>
        <v>36891</v>
      </c>
    </row>
    <row r="180" spans="2:7" ht="12.75">
      <c r="B180" s="1" t="s">
        <v>59</v>
      </c>
      <c r="C180" s="1"/>
      <c r="D180" s="1"/>
      <c r="E180" s="1"/>
      <c r="F180" s="183">
        <f>-G176</f>
        <v>-16200.000000000011</v>
      </c>
      <c r="G180" s="183">
        <f>G176+F180</f>
        <v>0</v>
      </c>
    </row>
    <row r="181" spans="2:7" ht="12.75">
      <c r="B181" s="14" t="s">
        <v>60</v>
      </c>
      <c r="C181" s="1"/>
      <c r="D181" s="1"/>
      <c r="E181" s="1"/>
      <c r="F181" s="185"/>
      <c r="G181" s="185"/>
    </row>
    <row r="182" spans="6:8" ht="12.75">
      <c r="F182" s="12"/>
      <c r="G182" s="12"/>
      <c r="H182" s="16"/>
    </row>
    <row r="183" spans="1:8" ht="13.5" thickBot="1">
      <c r="A183" s="18"/>
      <c r="B183" s="19"/>
      <c r="C183" s="18"/>
      <c r="D183" s="18"/>
      <c r="E183" s="18"/>
      <c r="F183" s="18"/>
      <c r="G183" s="18"/>
      <c r="H183" s="20"/>
    </row>
    <row r="184" spans="6:7" ht="13.5" thickTop="1">
      <c r="F184" s="215" t="s">
        <v>36</v>
      </c>
      <c r="G184" s="223"/>
    </row>
    <row r="185" spans="1:7" ht="13.5" thickBot="1">
      <c r="A185" s="25"/>
      <c r="B185" s="25"/>
      <c r="C185" s="23"/>
      <c r="D185" s="25"/>
      <c r="E185" s="27"/>
      <c r="F185" s="216" t="s">
        <v>124</v>
      </c>
      <c r="G185" s="218" t="s">
        <v>37</v>
      </c>
    </row>
    <row r="186" spans="1:8" ht="13.5" thickTop="1">
      <c r="A186" s="222">
        <f>A74</f>
        <v>36981</v>
      </c>
      <c r="B186" s="30" t="s">
        <v>59</v>
      </c>
      <c r="C186" s="21"/>
      <c r="D186" s="21"/>
      <c r="E186" s="21"/>
      <c r="F186" s="183">
        <f>-C$57*(B$57/4)</f>
        <v>16025.000000000002</v>
      </c>
      <c r="G186" s="183">
        <f>F186</f>
        <v>16025.000000000002</v>
      </c>
      <c r="H186" s="224">
        <f>A186</f>
        <v>36981</v>
      </c>
    </row>
    <row r="187" spans="1:7" ht="12.75">
      <c r="A187" s="21"/>
      <c r="B187" s="1" t="s">
        <v>38</v>
      </c>
      <c r="C187" s="21"/>
      <c r="D187" s="21"/>
      <c r="E187" s="21"/>
      <c r="F187" s="183">
        <f>-F186</f>
        <v>-16025.000000000002</v>
      </c>
      <c r="G187" s="183">
        <f>F187+G171</f>
        <v>951750</v>
      </c>
    </row>
    <row r="188" spans="1:7" ht="12.75">
      <c r="A188" s="21"/>
      <c r="B188" s="22" t="s">
        <v>331</v>
      </c>
      <c r="C188" s="21"/>
      <c r="D188" s="21"/>
      <c r="E188" s="21"/>
      <c r="F188" s="183"/>
      <c r="G188" s="183"/>
    </row>
    <row r="189" spans="1:7" ht="12.75">
      <c r="A189" s="21"/>
      <c r="B189" s="22"/>
      <c r="C189" s="21"/>
      <c r="D189" s="21"/>
      <c r="E189" s="21"/>
      <c r="F189" s="183"/>
      <c r="G189" s="183"/>
    </row>
    <row r="190" spans="1:8" ht="12.75">
      <c r="A190" s="222">
        <f>A186</f>
        <v>36981</v>
      </c>
      <c r="B190" s="30" t="s">
        <v>59</v>
      </c>
      <c r="C190" s="21"/>
      <c r="D190" s="21"/>
      <c r="E190" s="21"/>
      <c r="F190" s="183">
        <f>-H73</f>
        <v>0</v>
      </c>
      <c r="G190" s="183">
        <f>F190+G186</f>
        <v>16025.000000000002</v>
      </c>
      <c r="H190" s="224">
        <f>H186</f>
        <v>36981</v>
      </c>
    </row>
    <row r="191" spans="1:7" ht="12.75">
      <c r="A191" s="21"/>
      <c r="B191" s="1" t="s">
        <v>38</v>
      </c>
      <c r="C191" s="21"/>
      <c r="D191" s="21"/>
      <c r="E191" s="21"/>
      <c r="F191" s="183">
        <f>-F190</f>
        <v>0</v>
      </c>
      <c r="G191" s="183">
        <f>F191+G187</f>
        <v>951750</v>
      </c>
    </row>
    <row r="192" spans="1:7" ht="12.75">
      <c r="A192" s="21"/>
      <c r="B192" s="22" t="s">
        <v>307</v>
      </c>
      <c r="C192" s="21"/>
      <c r="D192" s="21"/>
      <c r="E192" s="21"/>
      <c r="F192" s="183"/>
      <c r="G192" s="183"/>
    </row>
    <row r="193" spans="1:7" ht="12.75">
      <c r="A193" s="21"/>
      <c r="B193" s="22"/>
      <c r="C193" s="21"/>
      <c r="D193" s="3" t="s">
        <v>35</v>
      </c>
      <c r="E193" s="21"/>
      <c r="F193" s="183"/>
      <c r="G193" s="183"/>
    </row>
    <row r="194" spans="1:8" ht="12.75">
      <c r="A194" s="222">
        <f>A186</f>
        <v>36981</v>
      </c>
      <c r="B194" s="30" t="s">
        <v>320</v>
      </c>
      <c r="C194" s="21"/>
      <c r="D194" s="21"/>
      <c r="E194" s="21"/>
      <c r="F194" s="183">
        <f>G194-G174</f>
        <v>-1073.5805134649854</v>
      </c>
      <c r="G194" s="183">
        <f>C60-C$57</f>
        <v>-1073.5805134649854</v>
      </c>
      <c r="H194" s="224">
        <f>H186</f>
        <v>36981</v>
      </c>
    </row>
    <row r="195" spans="2:7" ht="12.75">
      <c r="B195" s="1" t="s">
        <v>39</v>
      </c>
      <c r="C195" s="21"/>
      <c r="D195" s="21"/>
      <c r="E195" s="21"/>
      <c r="F195" s="183">
        <f>G195-G175</f>
        <v>1072.8749359285227</v>
      </c>
      <c r="G195" s="183">
        <f>G93</f>
        <v>1072.8749359285227</v>
      </c>
    </row>
    <row r="196" spans="2:7" ht="12.75">
      <c r="B196" s="1" t="s">
        <v>336</v>
      </c>
      <c r="C196" s="21"/>
      <c r="D196" s="21"/>
      <c r="E196" s="21"/>
      <c r="F196" s="183">
        <f>-(F194+F195)</f>
        <v>0.7055775364626697</v>
      </c>
      <c r="G196" s="183">
        <f>F196+G190</f>
        <v>16025.705577536464</v>
      </c>
    </row>
    <row r="197" spans="2:7" ht="12.75">
      <c r="B197" s="22" t="s">
        <v>332</v>
      </c>
      <c r="C197" s="21"/>
      <c r="D197" s="21"/>
      <c r="E197" s="21"/>
      <c r="F197" s="183"/>
      <c r="G197" s="183"/>
    </row>
    <row r="198" spans="2:7" ht="12.75">
      <c r="B198" s="31"/>
      <c r="C198" s="1"/>
      <c r="D198" s="1"/>
      <c r="E198" s="1"/>
      <c r="F198" s="183"/>
      <c r="G198" s="183"/>
    </row>
    <row r="199" spans="1:8" ht="12.75">
      <c r="A199" s="222">
        <f>A186</f>
        <v>36981</v>
      </c>
      <c r="B199" s="1" t="s">
        <v>50</v>
      </c>
      <c r="C199" s="1"/>
      <c r="D199" s="1"/>
      <c r="E199" s="1"/>
      <c r="F199" s="183">
        <f>-F200</f>
        <v>16025.705577536464</v>
      </c>
      <c r="G199" s="183">
        <f>F199+G179</f>
        <v>48250.705577536464</v>
      </c>
      <c r="H199" s="224">
        <f>H186</f>
        <v>36981</v>
      </c>
    </row>
    <row r="200" spans="2:7" ht="12.75">
      <c r="B200" s="1" t="s">
        <v>59</v>
      </c>
      <c r="C200" s="1"/>
      <c r="D200" s="1"/>
      <c r="E200" s="1"/>
      <c r="F200" s="183">
        <f>-G196</f>
        <v>-16025.705577536464</v>
      </c>
      <c r="G200" s="183">
        <f>G196+F200</f>
        <v>0</v>
      </c>
    </row>
    <row r="201" spans="2:7" ht="12.75">
      <c r="B201" s="14" t="s">
        <v>60</v>
      </c>
      <c r="C201" s="1"/>
      <c r="D201" s="1"/>
      <c r="E201" s="1"/>
      <c r="F201" s="185"/>
      <c r="G201" s="185"/>
    </row>
    <row r="202" spans="6:8" ht="12.75">
      <c r="F202" s="12"/>
      <c r="G202" s="12"/>
      <c r="H202" s="16"/>
    </row>
    <row r="203" spans="1:8" ht="13.5" thickBot="1">
      <c r="A203" s="18"/>
      <c r="B203" s="19"/>
      <c r="C203" s="18"/>
      <c r="D203" s="18"/>
      <c r="E203" s="18"/>
      <c r="F203" s="18"/>
      <c r="G203" s="18"/>
      <c r="H203" s="20"/>
    </row>
    <row r="204" spans="6:7" ht="13.5" thickTop="1">
      <c r="F204" s="215" t="s">
        <v>36</v>
      </c>
      <c r="G204" s="227"/>
    </row>
    <row r="205" spans="1:7" ht="13.5" thickBot="1">
      <c r="A205" s="25"/>
      <c r="B205" s="25"/>
      <c r="C205" s="23"/>
      <c r="D205" s="25"/>
      <c r="E205" s="27"/>
      <c r="F205" s="216" t="s">
        <v>124</v>
      </c>
      <c r="G205" s="218" t="s">
        <v>37</v>
      </c>
    </row>
    <row r="206" spans="1:8" ht="13.5" thickTop="1">
      <c r="A206" s="225">
        <f>A75</f>
        <v>37072</v>
      </c>
      <c r="B206" s="30" t="s">
        <v>59</v>
      </c>
      <c r="C206" s="21"/>
      <c r="D206" s="21"/>
      <c r="E206" s="21"/>
      <c r="F206" s="183">
        <f>-C$57*(B$57/4)</f>
        <v>16025.000000000002</v>
      </c>
      <c r="G206" s="183">
        <f>F206</f>
        <v>16025.000000000002</v>
      </c>
      <c r="H206" s="226">
        <f>A206</f>
        <v>37072</v>
      </c>
    </row>
    <row r="207" spans="1:7" ht="12.75">
      <c r="A207" s="21"/>
      <c r="B207" s="1" t="s">
        <v>38</v>
      </c>
      <c r="C207" s="21"/>
      <c r="D207" s="21"/>
      <c r="E207" s="21"/>
      <c r="F207" s="183">
        <f>-F206</f>
        <v>-16025.000000000002</v>
      </c>
      <c r="G207" s="183">
        <f>F207+G191</f>
        <v>935725</v>
      </c>
    </row>
    <row r="208" spans="1:7" ht="12.75">
      <c r="A208" s="21"/>
      <c r="B208" s="22" t="s">
        <v>331</v>
      </c>
      <c r="C208" s="21"/>
      <c r="D208" s="21"/>
      <c r="E208" s="21"/>
      <c r="F208" s="183"/>
      <c r="G208" s="183"/>
    </row>
    <row r="209" spans="1:7" ht="12.75">
      <c r="A209" s="21"/>
      <c r="B209" s="22"/>
      <c r="C209" s="21"/>
      <c r="D209" s="21"/>
      <c r="E209" s="21"/>
      <c r="F209" s="183"/>
      <c r="G209" s="183"/>
    </row>
    <row r="210" spans="1:8" ht="12.75">
      <c r="A210" s="225">
        <f>A206</f>
        <v>37072</v>
      </c>
      <c r="B210" s="30" t="s">
        <v>59</v>
      </c>
      <c r="C210" s="21"/>
      <c r="D210" s="21"/>
      <c r="E210" s="21"/>
      <c r="F210" s="183">
        <f>-H74</f>
        <v>-224.99999999999952</v>
      </c>
      <c r="G210" s="183">
        <f>F210+G206</f>
        <v>15800.000000000002</v>
      </c>
      <c r="H210" s="226">
        <f>H206</f>
        <v>37072</v>
      </c>
    </row>
    <row r="211" spans="1:7" ht="12.75">
      <c r="A211" s="21"/>
      <c r="B211" s="1" t="s">
        <v>38</v>
      </c>
      <c r="C211" s="21"/>
      <c r="D211" s="21"/>
      <c r="E211" s="21"/>
      <c r="F211" s="183">
        <f>-F210</f>
        <v>224.99999999999952</v>
      </c>
      <c r="G211" s="183">
        <f>F211+G207</f>
        <v>935950</v>
      </c>
    </row>
    <row r="212" spans="1:7" ht="12.75">
      <c r="A212" s="21"/>
      <c r="B212" s="22" t="s">
        <v>307</v>
      </c>
      <c r="C212" s="21"/>
      <c r="D212" s="21"/>
      <c r="E212" s="21"/>
      <c r="F212" s="183"/>
      <c r="G212" s="183"/>
    </row>
    <row r="213" spans="1:7" ht="12.75">
      <c r="A213" s="21"/>
      <c r="B213" s="22"/>
      <c r="C213" s="21"/>
      <c r="D213" s="3" t="s">
        <v>35</v>
      </c>
      <c r="E213" s="21"/>
      <c r="F213" s="183"/>
      <c r="G213" s="183"/>
    </row>
    <row r="214" spans="1:8" ht="12.75">
      <c r="A214" s="225">
        <f>A206</f>
        <v>37072</v>
      </c>
      <c r="B214" s="30" t="s">
        <v>320</v>
      </c>
      <c r="C214" s="21"/>
      <c r="D214" s="21"/>
      <c r="E214" s="21"/>
      <c r="F214" s="183">
        <f>G214-G194</f>
        <v>12429.116929158918</v>
      </c>
      <c r="G214" s="183">
        <f>C61-C$57</f>
        <v>11355.536415693932</v>
      </c>
      <c r="H214" s="226">
        <f>H206</f>
        <v>37072</v>
      </c>
    </row>
    <row r="215" spans="2:7" ht="12.75">
      <c r="B215" s="1" t="s">
        <v>39</v>
      </c>
      <c r="C215" s="21"/>
      <c r="D215" s="21"/>
      <c r="E215" s="21"/>
      <c r="F215" s="183">
        <f>G215-G195</f>
        <v>-12517.277956344951</v>
      </c>
      <c r="G215" s="183">
        <f>G94</f>
        <v>-11444.403020416428</v>
      </c>
    </row>
    <row r="216" spans="2:7" ht="12.75">
      <c r="B216" s="1" t="s">
        <v>336</v>
      </c>
      <c r="C216" s="21"/>
      <c r="D216" s="21"/>
      <c r="E216" s="21"/>
      <c r="F216" s="183">
        <f>-(F214+F215)</f>
        <v>88.1610271860336</v>
      </c>
      <c r="G216" s="183">
        <f>F216+G210</f>
        <v>15888.161027186035</v>
      </c>
    </row>
    <row r="217" spans="2:7" ht="12.75">
      <c r="B217" s="22" t="s">
        <v>332</v>
      </c>
      <c r="C217" s="21"/>
      <c r="D217" s="21"/>
      <c r="E217" s="21"/>
      <c r="F217" s="183"/>
      <c r="G217" s="183"/>
    </row>
    <row r="218" spans="2:7" ht="12.75">
      <c r="B218" s="31"/>
      <c r="C218" s="1"/>
      <c r="D218" s="1"/>
      <c r="E218" s="1"/>
      <c r="F218" s="183"/>
      <c r="G218" s="183"/>
    </row>
    <row r="219" spans="1:8" ht="12.75">
      <c r="A219" s="225">
        <f>A206</f>
        <v>37072</v>
      </c>
      <c r="B219" s="1" t="s">
        <v>50</v>
      </c>
      <c r="C219" s="1"/>
      <c r="D219" s="1"/>
      <c r="E219" s="1"/>
      <c r="F219" s="183">
        <f>-F220</f>
        <v>15888.161027186035</v>
      </c>
      <c r="G219" s="183">
        <f>F219+G199</f>
        <v>64138.8666047225</v>
      </c>
      <c r="H219" s="226">
        <f>H206</f>
        <v>37072</v>
      </c>
    </row>
    <row r="220" spans="2:7" ht="12.75">
      <c r="B220" s="1" t="s">
        <v>59</v>
      </c>
      <c r="C220" s="1"/>
      <c r="D220" s="1"/>
      <c r="E220" s="1"/>
      <c r="F220" s="183">
        <f>-G216</f>
        <v>-15888.161027186035</v>
      </c>
      <c r="G220" s="183">
        <f>G216+F220</f>
        <v>0</v>
      </c>
    </row>
    <row r="221" spans="2:7" ht="12.75">
      <c r="B221" s="14" t="s">
        <v>60</v>
      </c>
      <c r="C221" s="1"/>
      <c r="D221" s="1"/>
      <c r="E221" s="1"/>
      <c r="F221" s="185"/>
      <c r="G221" s="185"/>
    </row>
    <row r="222" spans="2:7" ht="12.75">
      <c r="B222" s="14"/>
      <c r="C222" s="1"/>
      <c r="D222" s="1"/>
      <c r="E222" s="1"/>
      <c r="F222" s="228"/>
      <c r="G222" s="228"/>
    </row>
    <row r="223" spans="1:8" ht="13.5" thickBot="1">
      <c r="A223" s="18"/>
      <c r="B223" s="19"/>
      <c r="C223" s="18"/>
      <c r="D223" s="18"/>
      <c r="E223" s="18"/>
      <c r="F223" s="18"/>
      <c r="G223" s="18"/>
      <c r="H223" s="20"/>
    </row>
    <row r="224" spans="6:7" ht="13.5" thickTop="1">
      <c r="F224" s="215" t="s">
        <v>36</v>
      </c>
      <c r="G224" s="231"/>
    </row>
    <row r="225" spans="1:7" ht="13.5" thickBot="1">
      <c r="A225" s="25"/>
      <c r="B225" s="25"/>
      <c r="C225" s="23"/>
      <c r="D225" s="25"/>
      <c r="E225" s="27"/>
      <c r="F225" s="216" t="s">
        <v>124</v>
      </c>
      <c r="G225" s="218" t="s">
        <v>37</v>
      </c>
    </row>
    <row r="226" spans="1:8" ht="13.5" thickTop="1">
      <c r="A226" s="229">
        <f>A76</f>
        <v>37164</v>
      </c>
      <c r="B226" s="30" t="s">
        <v>59</v>
      </c>
      <c r="C226" s="21"/>
      <c r="D226" s="21"/>
      <c r="E226" s="21"/>
      <c r="F226" s="183">
        <f>-C$57*(B$57/4)</f>
        <v>16025.000000000002</v>
      </c>
      <c r="G226" s="183">
        <f>F226</f>
        <v>16025.000000000002</v>
      </c>
      <c r="H226" s="230">
        <f>A226</f>
        <v>37164</v>
      </c>
    </row>
    <row r="227" spans="1:7" ht="12.75">
      <c r="A227" s="21"/>
      <c r="B227" s="1" t="s">
        <v>38</v>
      </c>
      <c r="C227" s="21"/>
      <c r="D227" s="21"/>
      <c r="E227" s="21"/>
      <c r="F227" s="183">
        <f>-F226</f>
        <v>-16025.000000000002</v>
      </c>
      <c r="G227" s="183">
        <f>F227+G211</f>
        <v>919925</v>
      </c>
    </row>
    <row r="228" spans="1:7" ht="12.75">
      <c r="A228" s="21"/>
      <c r="B228" s="22" t="s">
        <v>331</v>
      </c>
      <c r="C228" s="21"/>
      <c r="D228" s="21"/>
      <c r="E228" s="21"/>
      <c r="F228" s="183"/>
      <c r="G228" s="183"/>
    </row>
    <row r="229" spans="1:7" ht="12.75">
      <c r="A229" s="21"/>
      <c r="B229" s="22"/>
      <c r="C229" s="21"/>
      <c r="D229" s="21"/>
      <c r="E229" s="21"/>
      <c r="F229" s="183"/>
      <c r="G229" s="183"/>
    </row>
    <row r="230" spans="1:8" ht="12.75">
      <c r="A230" s="229">
        <f>A226</f>
        <v>37164</v>
      </c>
      <c r="B230" s="30" t="s">
        <v>59</v>
      </c>
      <c r="C230" s="21"/>
      <c r="D230" s="21"/>
      <c r="E230" s="21"/>
      <c r="F230" s="183">
        <f>-H75</f>
        <v>2974.9999999999986</v>
      </c>
      <c r="G230" s="183">
        <f>F230+G226</f>
        <v>19000</v>
      </c>
      <c r="H230" s="230">
        <f>H226</f>
        <v>37164</v>
      </c>
    </row>
    <row r="231" spans="1:7" ht="12.75">
      <c r="A231" s="21"/>
      <c r="B231" s="1" t="s">
        <v>38</v>
      </c>
      <c r="C231" s="21"/>
      <c r="D231" s="21"/>
      <c r="E231" s="21"/>
      <c r="F231" s="183">
        <f>-F230</f>
        <v>-2974.9999999999986</v>
      </c>
      <c r="G231" s="183">
        <f>F231+G227</f>
        <v>916950</v>
      </c>
    </row>
    <row r="232" spans="1:7" ht="12.75">
      <c r="A232" s="21"/>
      <c r="B232" s="22" t="s">
        <v>307</v>
      </c>
      <c r="C232" s="21"/>
      <c r="D232" s="21"/>
      <c r="E232" s="21"/>
      <c r="F232" s="183"/>
      <c r="G232" s="183"/>
    </row>
    <row r="233" spans="1:7" ht="12.75">
      <c r="A233" s="21"/>
      <c r="B233" s="22"/>
      <c r="C233" s="21"/>
      <c r="D233" s="3" t="s">
        <v>35</v>
      </c>
      <c r="E233" s="21"/>
      <c r="F233" s="183"/>
      <c r="G233" s="183"/>
    </row>
    <row r="234" spans="1:8" ht="12.75">
      <c r="A234" s="229">
        <f>A226</f>
        <v>37164</v>
      </c>
      <c r="B234" s="30" t="s">
        <v>320</v>
      </c>
      <c r="C234" s="21"/>
      <c r="D234" s="21"/>
      <c r="E234" s="21"/>
      <c r="F234" s="183">
        <f>G234-G214</f>
        <v>-1969.6642548730597</v>
      </c>
      <c r="G234" s="183">
        <f>C62-C$57</f>
        <v>9385.872160820873</v>
      </c>
      <c r="H234" s="230">
        <f>H226</f>
        <v>37164</v>
      </c>
    </row>
    <row r="235" spans="2:7" ht="12.75">
      <c r="B235" s="1" t="s">
        <v>39</v>
      </c>
      <c r="C235" s="21"/>
      <c r="D235" s="21"/>
      <c r="E235" s="21"/>
      <c r="F235" s="183">
        <f>G235-G215</f>
        <v>2053.4962222065806</v>
      </c>
      <c r="G235" s="183">
        <f>G95</f>
        <v>-9390.906798209848</v>
      </c>
    </row>
    <row r="236" spans="2:7" ht="12.75">
      <c r="B236" s="1" t="s">
        <v>336</v>
      </c>
      <c r="C236" s="21"/>
      <c r="D236" s="21"/>
      <c r="E236" s="21"/>
      <c r="F236" s="183">
        <f>-(F234+F235)</f>
        <v>-83.83196733352088</v>
      </c>
      <c r="G236" s="183">
        <f>F236+G230</f>
        <v>18916.16803266648</v>
      </c>
    </row>
    <row r="237" spans="2:7" ht="12.75">
      <c r="B237" s="22" t="s">
        <v>332</v>
      </c>
      <c r="C237" s="21"/>
      <c r="D237" s="21"/>
      <c r="E237" s="21"/>
      <c r="F237" s="183"/>
      <c r="G237" s="183"/>
    </row>
    <row r="238" spans="2:7" ht="12.75">
      <c r="B238" s="31"/>
      <c r="C238" s="1"/>
      <c r="D238" s="1"/>
      <c r="E238" s="1"/>
      <c r="F238" s="183"/>
      <c r="G238" s="183"/>
    </row>
    <row r="239" spans="1:8" ht="12.75">
      <c r="A239" s="229">
        <f>A226</f>
        <v>37164</v>
      </c>
      <c r="B239" s="1" t="s">
        <v>50</v>
      </c>
      <c r="C239" s="1"/>
      <c r="D239" s="1"/>
      <c r="E239" s="1"/>
      <c r="F239" s="183">
        <f>-F220</f>
        <v>15888.161027186035</v>
      </c>
      <c r="G239" s="183">
        <f>F239+G219</f>
        <v>80027.02763190854</v>
      </c>
      <c r="H239" s="230">
        <f>H226</f>
        <v>37164</v>
      </c>
    </row>
    <row r="240" spans="2:7" ht="12.75">
      <c r="B240" s="1" t="s">
        <v>59</v>
      </c>
      <c r="C240" s="1"/>
      <c r="D240" s="1"/>
      <c r="E240" s="1"/>
      <c r="F240" s="183">
        <f>-G236</f>
        <v>-18916.16803266648</v>
      </c>
      <c r="G240" s="183">
        <f>G236+F240</f>
        <v>0</v>
      </c>
    </row>
    <row r="241" spans="2:7" ht="12.75">
      <c r="B241" s="14" t="s">
        <v>60</v>
      </c>
      <c r="C241" s="1"/>
      <c r="D241" s="1"/>
      <c r="E241" s="1"/>
      <c r="F241" s="185"/>
      <c r="G241" s="185"/>
    </row>
    <row r="242" spans="2:7" ht="12.75">
      <c r="B242" s="14"/>
      <c r="C242" s="1"/>
      <c r="D242" s="1"/>
      <c r="E242" s="1"/>
      <c r="F242" s="228"/>
      <c r="G242" s="228"/>
    </row>
    <row r="243" spans="1:8" ht="13.5" thickBot="1">
      <c r="A243" s="18"/>
      <c r="B243" s="19"/>
      <c r="C243" s="18"/>
      <c r="D243" s="18"/>
      <c r="E243" s="18"/>
      <c r="F243" s="18"/>
      <c r="G243" s="18"/>
      <c r="H243" s="20"/>
    </row>
    <row r="244" spans="6:7" ht="13.5" thickTop="1">
      <c r="F244" s="215" t="s">
        <v>36</v>
      </c>
      <c r="G244" s="219"/>
    </row>
    <row r="245" spans="1:7" ht="13.5" thickBot="1">
      <c r="A245" s="25"/>
      <c r="B245" s="25"/>
      <c r="C245" s="23"/>
      <c r="D245" s="25"/>
      <c r="E245" s="27"/>
      <c r="F245" s="216" t="s">
        <v>124</v>
      </c>
      <c r="G245" s="218" t="s">
        <v>37</v>
      </c>
    </row>
    <row r="246" spans="1:8" ht="13.5" thickTop="1">
      <c r="A246" s="187">
        <f>A77</f>
        <v>37256</v>
      </c>
      <c r="B246" s="30" t="s">
        <v>59</v>
      </c>
      <c r="C246" s="21"/>
      <c r="D246" s="21"/>
      <c r="E246" s="21"/>
      <c r="F246" s="183">
        <f>-C$57*(B$57/4)</f>
        <v>16025.000000000002</v>
      </c>
      <c r="G246" s="183">
        <f>F246</f>
        <v>16025.000000000002</v>
      </c>
      <c r="H246" s="220">
        <f>A246</f>
        <v>37256</v>
      </c>
    </row>
    <row r="247" spans="1:7" ht="12.75">
      <c r="A247" s="21"/>
      <c r="B247" s="1" t="s">
        <v>38</v>
      </c>
      <c r="C247" s="21"/>
      <c r="D247" s="21"/>
      <c r="E247" s="21"/>
      <c r="F247" s="183">
        <f>-F246</f>
        <v>-16025.000000000002</v>
      </c>
      <c r="G247" s="183">
        <f>F247+G231</f>
        <v>900925</v>
      </c>
    </row>
    <row r="248" spans="1:7" ht="12.75">
      <c r="A248" s="21"/>
      <c r="B248" s="22" t="s">
        <v>331</v>
      </c>
      <c r="C248" s="21"/>
      <c r="D248" s="21"/>
      <c r="E248" s="21"/>
      <c r="F248" s="183"/>
      <c r="G248" s="183"/>
    </row>
    <row r="249" spans="1:7" ht="12.75">
      <c r="A249" s="21"/>
      <c r="B249" s="22"/>
      <c r="C249" s="21"/>
      <c r="D249" s="21"/>
      <c r="E249" s="21"/>
      <c r="F249" s="183"/>
      <c r="G249" s="183"/>
    </row>
    <row r="250" spans="1:8" ht="12.75">
      <c r="A250" s="187">
        <f>A246</f>
        <v>37256</v>
      </c>
      <c r="B250" s="30" t="s">
        <v>59</v>
      </c>
      <c r="C250" s="21"/>
      <c r="D250" s="21"/>
      <c r="E250" s="21"/>
      <c r="F250" s="183">
        <f>-H76</f>
        <v>3249.9999999999995</v>
      </c>
      <c r="G250" s="183">
        <f>F250+G246</f>
        <v>19275</v>
      </c>
      <c r="H250" s="220">
        <f>H246</f>
        <v>37256</v>
      </c>
    </row>
    <row r="251" spans="1:7" ht="12.75">
      <c r="A251" s="21"/>
      <c r="B251" s="1" t="s">
        <v>38</v>
      </c>
      <c r="C251" s="21"/>
      <c r="D251" s="21"/>
      <c r="E251" s="21"/>
      <c r="F251" s="183">
        <f>-F250</f>
        <v>-3249.9999999999995</v>
      </c>
      <c r="G251" s="183">
        <f>F251+G247</f>
        <v>897675</v>
      </c>
    </row>
    <row r="252" spans="1:7" ht="12.75">
      <c r="A252" s="21"/>
      <c r="B252" s="22" t="s">
        <v>307</v>
      </c>
      <c r="C252" s="21"/>
      <c r="D252" s="21"/>
      <c r="E252" s="21"/>
      <c r="F252" s="183"/>
      <c r="G252" s="183"/>
    </row>
    <row r="253" spans="1:7" ht="12.75">
      <c r="A253" s="21"/>
      <c r="B253" s="22"/>
      <c r="C253" s="21"/>
      <c r="D253" s="3" t="s">
        <v>35</v>
      </c>
      <c r="E253" s="21"/>
      <c r="F253" s="183"/>
      <c r="G253" s="183"/>
    </row>
    <row r="254" spans="1:8" ht="12.75">
      <c r="A254" s="187">
        <f>A246</f>
        <v>37256</v>
      </c>
      <c r="B254" s="30" t="s">
        <v>320</v>
      </c>
      <c r="C254" s="21"/>
      <c r="D254" s="21"/>
      <c r="E254" s="21"/>
      <c r="F254" s="183">
        <f>G254-G234</f>
        <v>-2531.825254205498</v>
      </c>
      <c r="G254" s="183">
        <f>C63-C$57</f>
        <v>6854.046906615375</v>
      </c>
      <c r="H254" s="220">
        <f>H246</f>
        <v>37256</v>
      </c>
    </row>
    <row r="255" spans="2:7" ht="12.75">
      <c r="B255" s="1" t="s">
        <v>39</v>
      </c>
      <c r="C255" s="21"/>
      <c r="D255" s="21"/>
      <c r="E255" s="21"/>
      <c r="F255" s="183">
        <f>G255-G235</f>
        <v>2539.624772151191</v>
      </c>
      <c r="G255" s="183">
        <f>G96</f>
        <v>-6851.282026058657</v>
      </c>
    </row>
    <row r="256" spans="2:7" ht="12.75">
      <c r="B256" s="1" t="s">
        <v>336</v>
      </c>
      <c r="C256" s="21"/>
      <c r="D256" s="21"/>
      <c r="E256" s="21"/>
      <c r="F256" s="183">
        <f>-(F254+F255)</f>
        <v>-7.799517945692969</v>
      </c>
      <c r="G256" s="183">
        <f>F256+G250</f>
        <v>19267.200482054308</v>
      </c>
    </row>
    <row r="257" spans="2:7" ht="12.75">
      <c r="B257" s="22" t="s">
        <v>332</v>
      </c>
      <c r="C257" s="21"/>
      <c r="D257" s="21"/>
      <c r="E257" s="21"/>
      <c r="F257" s="183"/>
      <c r="G257" s="183"/>
    </row>
    <row r="258" spans="2:7" ht="12.75">
      <c r="B258" s="31"/>
      <c r="C258" s="1"/>
      <c r="D258" s="1"/>
      <c r="E258" s="1"/>
      <c r="F258" s="183"/>
      <c r="G258" s="183"/>
    </row>
    <row r="259" spans="1:8" ht="12.75">
      <c r="A259" s="187">
        <f>A246</f>
        <v>37256</v>
      </c>
      <c r="B259" s="1" t="s">
        <v>50</v>
      </c>
      <c r="C259" s="1"/>
      <c r="D259" s="1"/>
      <c r="E259" s="1"/>
      <c r="F259" s="183">
        <f>-F260</f>
        <v>19267.200482054308</v>
      </c>
      <c r="G259" s="183">
        <f>F259+G239</f>
        <v>99294.22811396285</v>
      </c>
      <c r="H259" s="220">
        <f>H246</f>
        <v>37256</v>
      </c>
    </row>
    <row r="260" spans="2:7" ht="12.75">
      <c r="B260" s="1" t="s">
        <v>59</v>
      </c>
      <c r="C260" s="1"/>
      <c r="D260" s="1"/>
      <c r="E260" s="1"/>
      <c r="F260" s="183">
        <f>-G256</f>
        <v>-19267.200482054308</v>
      </c>
      <c r="G260" s="183">
        <f>G256+F260</f>
        <v>0</v>
      </c>
    </row>
    <row r="261" spans="2:7" ht="12.75">
      <c r="B261" s="14" t="s">
        <v>60</v>
      </c>
      <c r="C261" s="1"/>
      <c r="D261" s="1"/>
      <c r="E261" s="1"/>
      <c r="F261" s="185"/>
      <c r="G261" s="185"/>
    </row>
    <row r="262" spans="2:7" ht="12.75">
      <c r="B262" s="14"/>
      <c r="C262" s="1"/>
      <c r="D262" s="1"/>
      <c r="E262" s="1"/>
      <c r="F262" s="228"/>
      <c r="G262" s="228"/>
    </row>
    <row r="263" spans="1:8" ht="13.5" thickBot="1">
      <c r="A263" s="18"/>
      <c r="B263" s="19"/>
      <c r="C263" s="18"/>
      <c r="D263" s="18"/>
      <c r="E263" s="18"/>
      <c r="F263" s="18"/>
      <c r="G263" s="18"/>
      <c r="H263" s="20"/>
    </row>
    <row r="264" spans="6:7" ht="13.5" thickTop="1">
      <c r="F264" s="215" t="s">
        <v>36</v>
      </c>
      <c r="G264" s="234"/>
    </row>
    <row r="265" spans="1:7" ht="13.5" thickBot="1">
      <c r="A265" s="25"/>
      <c r="B265" s="25"/>
      <c r="C265" s="23"/>
      <c r="D265" s="25"/>
      <c r="E265" s="27"/>
      <c r="F265" s="216" t="s">
        <v>124</v>
      </c>
      <c r="G265" s="218" t="s">
        <v>37</v>
      </c>
    </row>
    <row r="266" spans="1:8" ht="13.5" thickTop="1">
      <c r="A266" s="181">
        <f>A78</f>
        <v>37346</v>
      </c>
      <c r="B266" s="30" t="s">
        <v>59</v>
      </c>
      <c r="C266" s="21"/>
      <c r="D266" s="21"/>
      <c r="E266" s="21"/>
      <c r="F266" s="183">
        <f>-C$57*(B$57/4)</f>
        <v>16025.000000000002</v>
      </c>
      <c r="G266" s="183">
        <f>F266</f>
        <v>16025.000000000002</v>
      </c>
      <c r="H266" s="233">
        <f>A266</f>
        <v>37346</v>
      </c>
    </row>
    <row r="267" spans="1:7" ht="12.75">
      <c r="A267" s="21"/>
      <c r="B267" s="1" t="s">
        <v>38</v>
      </c>
      <c r="C267" s="21"/>
      <c r="D267" s="21"/>
      <c r="E267" s="21"/>
      <c r="F267" s="183">
        <f>-F266</f>
        <v>-16025.000000000002</v>
      </c>
      <c r="G267" s="183">
        <f>F267+G251</f>
        <v>881650</v>
      </c>
    </row>
    <row r="268" spans="1:7" ht="12.75">
      <c r="A268" s="21"/>
      <c r="B268" s="22" t="s">
        <v>331</v>
      </c>
      <c r="C268" s="21"/>
      <c r="D268" s="21"/>
      <c r="E268" s="21"/>
      <c r="F268" s="183"/>
      <c r="G268" s="183"/>
    </row>
    <row r="269" spans="1:7" ht="12.75">
      <c r="A269" s="21"/>
      <c r="B269" s="22"/>
      <c r="C269" s="21"/>
      <c r="D269" s="21"/>
      <c r="E269" s="21"/>
      <c r="F269" s="183"/>
      <c r="G269" s="183"/>
    </row>
    <row r="270" spans="1:8" ht="12.75">
      <c r="A270" s="181">
        <f>A266</f>
        <v>37346</v>
      </c>
      <c r="B270" s="30" t="s">
        <v>59</v>
      </c>
      <c r="C270" s="21"/>
      <c r="D270" s="21"/>
      <c r="E270" s="21"/>
      <c r="F270" s="183">
        <f>-H77</f>
        <v>3525.0000000000005</v>
      </c>
      <c r="G270" s="183">
        <f>F270+G266</f>
        <v>19550.000000000004</v>
      </c>
      <c r="H270" s="233">
        <f>H266</f>
        <v>37346</v>
      </c>
    </row>
    <row r="271" spans="1:7" ht="12.75">
      <c r="A271" s="21"/>
      <c r="B271" s="1" t="s">
        <v>38</v>
      </c>
      <c r="C271" s="21"/>
      <c r="D271" s="21"/>
      <c r="E271" s="21"/>
      <c r="F271" s="183">
        <f>-F270</f>
        <v>-3525.0000000000005</v>
      </c>
      <c r="G271" s="183">
        <f>F271+G267</f>
        <v>878125</v>
      </c>
    </row>
    <row r="272" spans="1:7" ht="12.75">
      <c r="A272" s="21"/>
      <c r="B272" s="22" t="s">
        <v>307</v>
      </c>
      <c r="C272" s="21"/>
      <c r="D272" s="21"/>
      <c r="E272" s="21"/>
      <c r="F272" s="183"/>
      <c r="G272" s="183"/>
    </row>
    <row r="273" spans="1:7" ht="12.75">
      <c r="A273" s="21"/>
      <c r="B273" s="22"/>
      <c r="C273" s="21"/>
      <c r="D273" s="3" t="s">
        <v>35</v>
      </c>
      <c r="E273" s="21"/>
      <c r="F273" s="183"/>
      <c r="G273" s="183"/>
    </row>
    <row r="274" spans="1:8" ht="12.75">
      <c r="A274" s="181">
        <f>A266</f>
        <v>37346</v>
      </c>
      <c r="B274" s="30" t="s">
        <v>320</v>
      </c>
      <c r="C274" s="21"/>
      <c r="D274" s="21"/>
      <c r="E274" s="21"/>
      <c r="F274" s="183">
        <f>G274-G254</f>
        <v>-4376.795919394121</v>
      </c>
      <c r="G274" s="183">
        <f>C64-C$57</f>
        <v>2477.250987221254</v>
      </c>
      <c r="H274" s="233">
        <f>H266</f>
        <v>37346</v>
      </c>
    </row>
    <row r="275" spans="2:7" ht="12.75">
      <c r="B275" s="1" t="s">
        <v>39</v>
      </c>
      <c r="C275" s="21"/>
      <c r="D275" s="21"/>
      <c r="E275" s="21"/>
      <c r="F275" s="183">
        <f>G275-G255</f>
        <v>4374.699219918693</v>
      </c>
      <c r="G275" s="183">
        <f>G97</f>
        <v>-2476.5828061399634</v>
      </c>
    </row>
    <row r="276" spans="2:7" ht="12.75">
      <c r="B276" s="1" t="s">
        <v>336</v>
      </c>
      <c r="C276" s="21"/>
      <c r="D276" s="21"/>
      <c r="E276" s="21"/>
      <c r="F276" s="183">
        <f>-(F274+F275)</f>
        <v>2.096699475427158</v>
      </c>
      <c r="G276" s="183">
        <f>F276+G270</f>
        <v>19552.09669947543</v>
      </c>
    </row>
    <row r="277" spans="2:7" ht="12.75">
      <c r="B277" s="22" t="s">
        <v>332</v>
      </c>
      <c r="C277" s="21"/>
      <c r="D277" s="21"/>
      <c r="E277" s="21"/>
      <c r="F277" s="183"/>
      <c r="G277" s="183"/>
    </row>
    <row r="278" spans="2:7" ht="12.75">
      <c r="B278" s="31"/>
      <c r="C278" s="1"/>
      <c r="D278" s="1"/>
      <c r="E278" s="1"/>
      <c r="F278" s="183"/>
      <c r="G278" s="183"/>
    </row>
    <row r="279" spans="1:8" ht="12.75">
      <c r="A279" s="181">
        <f>A266</f>
        <v>37346</v>
      </c>
      <c r="B279" s="1" t="s">
        <v>50</v>
      </c>
      <c r="C279" s="1"/>
      <c r="D279" s="1"/>
      <c r="E279" s="1"/>
      <c r="F279" s="183">
        <f>-F280</f>
        <v>19552.09669947543</v>
      </c>
      <c r="G279" s="183">
        <f>F279+G259</f>
        <v>118846.32481343827</v>
      </c>
      <c r="H279" s="233">
        <f>H266</f>
        <v>37346</v>
      </c>
    </row>
    <row r="280" spans="2:7" ht="12.75">
      <c r="B280" s="1" t="s">
        <v>59</v>
      </c>
      <c r="C280" s="1"/>
      <c r="D280" s="1"/>
      <c r="E280" s="1"/>
      <c r="F280" s="183">
        <f>-G276</f>
        <v>-19552.09669947543</v>
      </c>
      <c r="G280" s="183">
        <f>G276+F280</f>
        <v>0</v>
      </c>
    </row>
    <row r="281" spans="2:7" ht="12.75">
      <c r="B281" s="14" t="s">
        <v>60</v>
      </c>
      <c r="C281" s="1"/>
      <c r="D281" s="1"/>
      <c r="E281" s="1"/>
      <c r="F281" s="185"/>
      <c r="G281" s="185"/>
    </row>
    <row r="282" spans="2:7" ht="12.75">
      <c r="B282" s="14"/>
      <c r="C282" s="1"/>
      <c r="D282" s="1"/>
      <c r="E282" s="1"/>
      <c r="F282" s="228"/>
      <c r="G282" s="228"/>
    </row>
    <row r="283" spans="1:8" ht="13.5" thickBot="1">
      <c r="A283" s="18"/>
      <c r="B283" s="19"/>
      <c r="C283" s="18"/>
      <c r="D283" s="18"/>
      <c r="E283" s="18"/>
      <c r="F283" s="18"/>
      <c r="G283" s="18"/>
      <c r="H283" s="20"/>
    </row>
    <row r="284" spans="6:7" ht="13.5" thickTop="1">
      <c r="F284" s="215" t="s">
        <v>36</v>
      </c>
      <c r="G284" s="217"/>
    </row>
    <row r="285" spans="1:7" ht="13.5" thickBot="1">
      <c r="A285" s="25"/>
      <c r="B285" s="25"/>
      <c r="C285" s="23"/>
      <c r="D285" s="25"/>
      <c r="E285" s="27"/>
      <c r="F285" s="216" t="s">
        <v>124</v>
      </c>
      <c r="G285" s="218" t="s">
        <v>37</v>
      </c>
    </row>
    <row r="286" spans="1:8" ht="13.5" thickTop="1">
      <c r="A286" s="214">
        <f>A79</f>
        <v>37437</v>
      </c>
      <c r="B286" s="30" t="s">
        <v>59</v>
      </c>
      <c r="C286" s="21"/>
      <c r="D286" s="21"/>
      <c r="E286" s="21"/>
      <c r="F286" s="183">
        <f>-C$57*(B$57/4)</f>
        <v>16025.000000000002</v>
      </c>
      <c r="G286" s="183">
        <f>F286</f>
        <v>16025.000000000002</v>
      </c>
      <c r="H286" s="221">
        <f>A286</f>
        <v>37437</v>
      </c>
    </row>
    <row r="287" spans="1:7" ht="12.75">
      <c r="A287" s="21"/>
      <c r="B287" s="1" t="s">
        <v>38</v>
      </c>
      <c r="C287" s="21"/>
      <c r="D287" s="21"/>
      <c r="E287" s="21"/>
      <c r="F287" s="183">
        <f>-F286</f>
        <v>-16025.000000000002</v>
      </c>
      <c r="G287" s="183">
        <f>F287+G271</f>
        <v>862100</v>
      </c>
    </row>
    <row r="288" spans="1:7" ht="12.75">
      <c r="A288" s="21"/>
      <c r="B288" s="22" t="s">
        <v>331</v>
      </c>
      <c r="C288" s="21"/>
      <c r="D288" s="21"/>
      <c r="E288" s="21"/>
      <c r="F288" s="183"/>
      <c r="G288" s="183"/>
    </row>
    <row r="289" spans="1:7" ht="12.75">
      <c r="A289" s="21"/>
      <c r="B289" s="22"/>
      <c r="C289" s="21"/>
      <c r="D289" s="21"/>
      <c r="E289" s="21"/>
      <c r="F289" s="183"/>
      <c r="G289" s="183"/>
    </row>
    <row r="290" spans="1:8" ht="12.75">
      <c r="A290" s="214">
        <f>A286</f>
        <v>37437</v>
      </c>
      <c r="B290" s="30" t="s">
        <v>59</v>
      </c>
      <c r="C290" s="21"/>
      <c r="D290" s="21"/>
      <c r="E290" s="21"/>
      <c r="F290" s="183">
        <f>-H78</f>
        <v>2524.9999999999995</v>
      </c>
      <c r="G290" s="183">
        <f>F290+G286</f>
        <v>18550</v>
      </c>
      <c r="H290" s="221">
        <f>H286</f>
        <v>37437</v>
      </c>
    </row>
    <row r="291" spans="1:7" ht="12.75">
      <c r="A291" s="21"/>
      <c r="B291" s="1" t="s">
        <v>38</v>
      </c>
      <c r="C291" s="21"/>
      <c r="D291" s="21"/>
      <c r="E291" s="21"/>
      <c r="F291" s="183">
        <f>-F290</f>
        <v>-2524.9999999999995</v>
      </c>
      <c r="G291" s="183">
        <f>F291+G287</f>
        <v>859575</v>
      </c>
    </row>
    <row r="292" spans="1:7" ht="12.75">
      <c r="A292" s="21"/>
      <c r="B292" s="22" t="s">
        <v>307</v>
      </c>
      <c r="C292" s="21"/>
      <c r="D292" s="21"/>
      <c r="E292" s="21"/>
      <c r="F292" s="183"/>
      <c r="G292" s="183"/>
    </row>
    <row r="293" spans="1:7" ht="12.75">
      <c r="A293" s="21"/>
      <c r="B293" s="22"/>
      <c r="C293" s="21"/>
      <c r="D293" s="3" t="s">
        <v>35</v>
      </c>
      <c r="E293" s="21"/>
      <c r="F293" s="183"/>
      <c r="G293" s="183"/>
    </row>
    <row r="294" spans="1:8" ht="12.75">
      <c r="A294" s="214">
        <f>A286</f>
        <v>37437</v>
      </c>
      <c r="B294" s="30" t="s">
        <v>320</v>
      </c>
      <c r="C294" s="21"/>
      <c r="D294" s="21"/>
      <c r="E294" s="21"/>
      <c r="F294" s="183">
        <f>G294-G274</f>
        <v>-2477.250987221254</v>
      </c>
      <c r="G294" s="183">
        <v>0</v>
      </c>
      <c r="H294" s="221">
        <f>H286</f>
        <v>37437</v>
      </c>
    </row>
    <row r="295" spans="2:7" ht="12.75">
      <c r="B295" s="1" t="s">
        <v>39</v>
      </c>
      <c r="C295" s="21"/>
      <c r="D295" s="21"/>
      <c r="E295" s="21"/>
      <c r="F295" s="183">
        <f>G295-G275</f>
        <v>2476.5828061399634</v>
      </c>
      <c r="G295" s="183">
        <f>G98</f>
        <v>0</v>
      </c>
    </row>
    <row r="296" spans="2:7" ht="12.75">
      <c r="B296" s="1" t="s">
        <v>336</v>
      </c>
      <c r="C296" s="21"/>
      <c r="D296" s="21"/>
      <c r="E296" s="21"/>
      <c r="F296" s="183">
        <f>-(F294+F295)</f>
        <v>0.6681810812906406</v>
      </c>
      <c r="G296" s="183">
        <f>F296+G290</f>
        <v>18550.66818108129</v>
      </c>
    </row>
    <row r="297" spans="2:7" ht="12.75">
      <c r="B297" s="22" t="s">
        <v>332</v>
      </c>
      <c r="C297" s="21"/>
      <c r="D297" s="21"/>
      <c r="E297" s="21"/>
      <c r="F297" s="183"/>
      <c r="G297" s="183"/>
    </row>
    <row r="298" spans="2:7" ht="12.75">
      <c r="B298" s="31"/>
      <c r="C298" s="1"/>
      <c r="D298" s="1"/>
      <c r="E298" s="1"/>
      <c r="F298" s="183"/>
      <c r="G298" s="183"/>
    </row>
    <row r="299" spans="1:8" ht="12.75">
      <c r="A299" s="214">
        <f>A286</f>
        <v>37437</v>
      </c>
      <c r="B299" s="1" t="s">
        <v>50</v>
      </c>
      <c r="C299" s="1"/>
      <c r="D299" s="1"/>
      <c r="E299" s="1"/>
      <c r="F299" s="183">
        <f>-F300</f>
        <v>18550.66818108129</v>
      </c>
      <c r="G299" s="183">
        <f>F299+G279</f>
        <v>137396.99299451956</v>
      </c>
      <c r="H299" s="221">
        <f>H286</f>
        <v>37437</v>
      </c>
    </row>
    <row r="300" spans="2:7" ht="12.75">
      <c r="B300" s="1" t="s">
        <v>59</v>
      </c>
      <c r="C300" s="1"/>
      <c r="D300" s="1"/>
      <c r="E300" s="1"/>
      <c r="F300" s="183">
        <f>-G296</f>
        <v>-18550.66818108129</v>
      </c>
      <c r="G300" s="183">
        <f>G296+F300</f>
        <v>0</v>
      </c>
    </row>
    <row r="301" spans="2:7" ht="12.75">
      <c r="B301" s="14" t="s">
        <v>60</v>
      </c>
      <c r="C301" s="1"/>
      <c r="D301" s="1"/>
      <c r="E301" s="1"/>
      <c r="F301" s="183"/>
      <c r="G301" s="183"/>
    </row>
    <row r="302" spans="2:7" ht="12.75">
      <c r="B302" s="14"/>
      <c r="C302" s="1"/>
      <c r="D302" s="1"/>
      <c r="E302" s="1"/>
      <c r="F302" s="183"/>
      <c r="G302" s="183"/>
    </row>
    <row r="303" spans="1:8" ht="12.75">
      <c r="A303" s="214">
        <f>A299</f>
        <v>37437</v>
      </c>
      <c r="B303" s="1" t="s">
        <v>38</v>
      </c>
      <c r="C303" s="1"/>
      <c r="D303" s="1"/>
      <c r="E303" s="1"/>
      <c r="F303" s="183">
        <f>C57</f>
        <v>-1000000</v>
      </c>
      <c r="G303" s="183">
        <f>F303+G291</f>
        <v>-140425</v>
      </c>
      <c r="H303" s="214">
        <f>H286</f>
        <v>37437</v>
      </c>
    </row>
    <row r="304" spans="2:7" ht="12.75">
      <c r="B304" s="1" t="s">
        <v>24</v>
      </c>
      <c r="D304" s="1"/>
      <c r="E304" s="1"/>
      <c r="F304" s="183">
        <f>-F303</f>
        <v>1000000</v>
      </c>
      <c r="G304" s="183">
        <v>0</v>
      </c>
    </row>
    <row r="305" spans="2:7" ht="12.75">
      <c r="B305" s="14" t="s">
        <v>113</v>
      </c>
      <c r="E305" s="1"/>
      <c r="F305" s="185"/>
      <c r="G305" s="185"/>
    </row>
    <row r="306" spans="2:7" ht="12.75">
      <c r="B306" s="14"/>
      <c r="E306" s="1"/>
      <c r="F306" s="183"/>
      <c r="G306" s="183"/>
    </row>
    <row r="307" spans="2:7" ht="12.75">
      <c r="B307" s="14"/>
      <c r="C307" s="1"/>
      <c r="D307" s="1"/>
      <c r="E307" s="1"/>
      <c r="F307" s="185"/>
      <c r="G307" s="185"/>
    </row>
    <row r="308" spans="1:8" ht="12.75">
      <c r="A308" s="18"/>
      <c r="B308" s="19"/>
      <c r="C308" s="18"/>
      <c r="D308" s="18"/>
      <c r="E308" s="18"/>
      <c r="F308" s="18"/>
      <c r="G308" s="18"/>
      <c r="H308" s="20"/>
    </row>
    <row r="310" ht="18">
      <c r="A310" s="176" t="s">
        <v>312</v>
      </c>
    </row>
    <row r="311" spans="1:5" ht="13.5" customHeight="1">
      <c r="A311" s="176"/>
      <c r="B311" s="197" t="s">
        <v>112</v>
      </c>
      <c r="C311" s="197" t="s">
        <v>236</v>
      </c>
      <c r="D311" s="197" t="s">
        <v>20</v>
      </c>
      <c r="E311" s="4" t="s">
        <v>20</v>
      </c>
    </row>
    <row r="312" spans="1:5" ht="12.75" customHeight="1">
      <c r="A312" s="176"/>
      <c r="B312" s="197" t="s">
        <v>45</v>
      </c>
      <c r="C312" s="197" t="s">
        <v>43</v>
      </c>
      <c r="D312" s="197" t="s">
        <v>315</v>
      </c>
      <c r="E312" s="4" t="s">
        <v>316</v>
      </c>
    </row>
    <row r="313" ht="12.75">
      <c r="A313" s="1" t="s">
        <v>313</v>
      </c>
    </row>
    <row r="314" spans="1:5" ht="12.75">
      <c r="A314" s="191">
        <f>A$71</f>
        <v>36708</v>
      </c>
      <c r="D314" s="238" t="s">
        <v>35</v>
      </c>
      <c r="E314" s="240">
        <f>-C$57</f>
        <v>1000000</v>
      </c>
    </row>
    <row r="315" ht="12.75">
      <c r="D315" s="238"/>
    </row>
    <row r="316" ht="12.75">
      <c r="A316" s="1" t="s">
        <v>314</v>
      </c>
    </row>
    <row r="317" spans="1:3" ht="12.75">
      <c r="A317" s="191">
        <f>A$72</f>
        <v>36799</v>
      </c>
      <c r="B317" s="98">
        <f>F$147</f>
        <v>-16025.000000000002</v>
      </c>
      <c r="C317" s="98">
        <f>F$151</f>
        <v>0</v>
      </c>
    </row>
    <row r="318" spans="1:3" ht="12.75">
      <c r="A318" s="191">
        <f>A$73</f>
        <v>36891</v>
      </c>
      <c r="B318" s="98">
        <f>F$167</f>
        <v>-16025.000000000002</v>
      </c>
      <c r="C318" s="98">
        <f>F$171</f>
        <v>-174.99999999999807</v>
      </c>
    </row>
    <row r="319" spans="1:3" ht="12.75">
      <c r="A319" s="191">
        <f>A$74</f>
        <v>36981</v>
      </c>
      <c r="B319" s="98">
        <f>F$187</f>
        <v>-16025.000000000002</v>
      </c>
      <c r="C319" s="98">
        <f>F$191</f>
        <v>0</v>
      </c>
    </row>
    <row r="320" spans="1:3" ht="12.75">
      <c r="A320" s="191">
        <f>A$75</f>
        <v>37072</v>
      </c>
      <c r="B320" s="98">
        <f>F$207</f>
        <v>-16025.000000000002</v>
      </c>
      <c r="C320" s="98">
        <f>F$211</f>
        <v>224.99999999999952</v>
      </c>
    </row>
    <row r="321" spans="1:3" ht="12.75">
      <c r="A321" s="191">
        <f>A$76</f>
        <v>37164</v>
      </c>
      <c r="B321" s="98">
        <f>F$227</f>
        <v>-16025.000000000002</v>
      </c>
      <c r="C321" s="98">
        <f>F$231</f>
        <v>-2974.9999999999986</v>
      </c>
    </row>
    <row r="322" spans="1:3" ht="12.75">
      <c r="A322" s="191">
        <f>A$77</f>
        <v>37256</v>
      </c>
      <c r="B322" s="98">
        <f>F$247</f>
        <v>-16025.000000000002</v>
      </c>
      <c r="C322" s="98">
        <f>F$251</f>
        <v>-3249.9999999999995</v>
      </c>
    </row>
    <row r="323" spans="1:3" ht="12.75">
      <c r="A323" s="191">
        <f>A$78</f>
        <v>37346</v>
      </c>
      <c r="B323" s="98">
        <f>F$267</f>
        <v>-16025.000000000002</v>
      </c>
      <c r="C323" s="98">
        <f>F$271</f>
        <v>-3525.0000000000005</v>
      </c>
    </row>
    <row r="324" spans="1:4" ht="13.5" thickBot="1">
      <c r="A324" s="191">
        <f>A$79</f>
        <v>37437</v>
      </c>
      <c r="B324" s="239">
        <f>F$287</f>
        <v>-16025.000000000002</v>
      </c>
      <c r="C324" s="239">
        <f>F$291</f>
        <v>-2524.9999999999995</v>
      </c>
      <c r="D324" s="239">
        <f>C57</f>
        <v>-1000000</v>
      </c>
    </row>
    <row r="325" spans="1:5" ht="14.25" thickBot="1" thickTop="1">
      <c r="A325" s="191" t="s">
        <v>35</v>
      </c>
      <c r="B325" s="239">
        <f>SUM(B317:B324)</f>
        <v>-128200.00000000001</v>
      </c>
      <c r="C325" s="239">
        <f>SUM(C317:C324)</f>
        <v>-12224.999999999996</v>
      </c>
      <c r="D325" s="239">
        <f>SUM(D317:D324)</f>
        <v>-1000000</v>
      </c>
      <c r="E325" s="239">
        <f>SUM(B325:D325)</f>
        <v>-1140425</v>
      </c>
    </row>
    <row r="326" spans="3:5" ht="13.5" thickTop="1">
      <c r="C326" s="1" t="s">
        <v>317</v>
      </c>
      <c r="E326" s="240">
        <f>E314+E325</f>
        <v>-140425</v>
      </c>
    </row>
  </sheetData>
  <printOptions/>
  <pageMargins left="0.75" right="0.75" top="1" bottom="1" header="0.5" footer="0.5"/>
  <pageSetup horizontalDpi="300" verticalDpi="3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N337"/>
  <sheetViews>
    <sheetView workbookViewId="0" topLeftCell="A242">
      <selection activeCell="F259" sqref="F259"/>
    </sheetView>
  </sheetViews>
  <sheetFormatPr defaultColWidth="9.140625" defaultRowHeight="12.75"/>
  <cols>
    <col min="2" max="2" width="10.8515625" style="0" customWidth="1"/>
    <col min="3" max="3" width="15.57421875" style="0" customWidth="1"/>
    <col min="4" max="4" width="11.7109375" style="0" customWidth="1"/>
    <col min="5" max="5" width="12.7109375" style="0" customWidth="1"/>
    <col min="6" max="6" width="13.28125" style="0" customWidth="1"/>
    <col min="7" max="7" width="14.28125" style="0" customWidth="1"/>
    <col min="8" max="9" width="10.140625" style="0" customWidth="1"/>
  </cols>
  <sheetData>
    <row r="1" spans="1:10" ht="12.75">
      <c r="A1" s="125" t="s">
        <v>135</v>
      </c>
      <c r="H1" s="1"/>
      <c r="I1" s="1"/>
      <c r="J1" s="2"/>
    </row>
    <row r="2" spans="1:10" ht="15.75">
      <c r="A2" s="139" t="s">
        <v>310</v>
      </c>
      <c r="H2" s="1"/>
      <c r="I2" s="1"/>
      <c r="J2" s="2"/>
    </row>
    <row r="3" spans="1:10" ht="12.75">
      <c r="A3" s="1" t="s">
        <v>116</v>
      </c>
      <c r="H3" s="1"/>
      <c r="I3" s="1"/>
      <c r="J3" s="2"/>
    </row>
    <row r="4" spans="1:10" ht="12.75">
      <c r="A4" s="90" t="s">
        <v>117</v>
      </c>
      <c r="I4" s="1"/>
      <c r="J4" s="2"/>
    </row>
    <row r="5" spans="9:10" ht="12.75">
      <c r="I5" s="1"/>
      <c r="J5" s="2"/>
    </row>
    <row r="6" spans="1:14" ht="12.75">
      <c r="A6" s="41"/>
      <c r="B6" s="43"/>
      <c r="H6" s="1"/>
      <c r="I6" s="1"/>
      <c r="J6" s="40"/>
      <c r="L6" s="1"/>
      <c r="M6" s="1"/>
      <c r="N6" s="40"/>
    </row>
    <row r="7" spans="1:14" ht="12.75">
      <c r="A7" s="4"/>
      <c r="B7" s="24"/>
      <c r="C7" s="24"/>
      <c r="D7" s="24"/>
      <c r="E7" s="24"/>
      <c r="H7" s="1"/>
      <c r="I7" s="1"/>
      <c r="J7" s="40"/>
      <c r="L7" s="1"/>
      <c r="M7" s="1"/>
      <c r="N7" s="40"/>
    </row>
    <row r="8" spans="1:14" ht="12.75">
      <c r="A8" s="4"/>
      <c r="B8" s="24"/>
      <c r="C8" s="24"/>
      <c r="D8" s="24"/>
      <c r="E8" s="24"/>
      <c r="H8" s="1"/>
      <c r="I8" s="1"/>
      <c r="J8" s="40"/>
      <c r="L8" s="1"/>
      <c r="M8" s="1"/>
      <c r="N8" s="40"/>
    </row>
    <row r="9" spans="1:14" ht="12.75">
      <c r="A9" s="4"/>
      <c r="B9" s="24"/>
      <c r="C9" s="24"/>
      <c r="D9" s="24"/>
      <c r="E9" s="24"/>
      <c r="H9" s="1"/>
      <c r="I9" s="1"/>
      <c r="J9" s="40"/>
      <c r="L9" s="1"/>
      <c r="M9" s="1"/>
      <c r="N9" s="40"/>
    </row>
    <row r="10" spans="1:14" ht="12.75">
      <c r="A10" s="4"/>
      <c r="B10" s="24"/>
      <c r="C10" s="24"/>
      <c r="D10" s="24"/>
      <c r="E10" s="24"/>
      <c r="H10" s="1"/>
      <c r="I10" s="1"/>
      <c r="J10" s="40"/>
      <c r="L10" s="1"/>
      <c r="M10" s="1"/>
      <c r="N10" s="40"/>
    </row>
    <row r="11" spans="1:14" ht="12.75">
      <c r="A11" s="4"/>
      <c r="B11" s="24"/>
      <c r="C11" s="24"/>
      <c r="D11" s="24"/>
      <c r="E11" s="24"/>
      <c r="H11" s="1"/>
      <c r="I11" s="1"/>
      <c r="J11" s="40"/>
      <c r="L11" s="1"/>
      <c r="M11" s="1"/>
      <c r="N11" s="40"/>
    </row>
    <row r="12" spans="1:14" ht="12.75">
      <c r="A12" s="4"/>
      <c r="B12" s="24"/>
      <c r="C12" s="24"/>
      <c r="D12" s="24"/>
      <c r="E12" s="24"/>
      <c r="H12" s="1"/>
      <c r="I12" s="1"/>
      <c r="J12" s="40"/>
      <c r="L12" s="1"/>
      <c r="M12" s="1"/>
      <c r="N12" s="40"/>
    </row>
    <row r="13" spans="1:14" ht="12.75">
      <c r="A13" s="4"/>
      <c r="B13" s="24"/>
      <c r="C13" s="24"/>
      <c r="D13" s="24"/>
      <c r="E13" s="24"/>
      <c r="H13" s="1"/>
      <c r="I13" s="1"/>
      <c r="J13" s="40"/>
      <c r="L13" s="1"/>
      <c r="M13" s="1"/>
      <c r="N13" s="40"/>
    </row>
    <row r="14" spans="1:14" ht="12.75">
      <c r="A14" s="4"/>
      <c r="B14" s="24"/>
      <c r="C14" s="140" t="s">
        <v>35</v>
      </c>
      <c r="D14" s="24"/>
      <c r="E14" s="24"/>
      <c r="H14" s="1"/>
      <c r="I14" s="1"/>
      <c r="J14" s="40"/>
      <c r="L14" s="1"/>
      <c r="M14" s="1"/>
      <c r="N14" s="40"/>
    </row>
    <row r="15" spans="1:14" ht="12.75">
      <c r="A15" s="4"/>
      <c r="B15" s="24"/>
      <c r="C15" s="24"/>
      <c r="D15" s="24"/>
      <c r="E15" s="24"/>
      <c r="H15" s="1"/>
      <c r="I15" s="1"/>
      <c r="J15" s="40"/>
      <c r="L15" s="1"/>
      <c r="M15" s="1"/>
      <c r="N15" s="40"/>
    </row>
    <row r="16" spans="1:10" ht="12.75">
      <c r="A16" s="90" t="s">
        <v>114</v>
      </c>
      <c r="H16" s="1"/>
      <c r="I16" s="1"/>
      <c r="J16" s="2"/>
    </row>
    <row r="17" spans="1:10" ht="12.75">
      <c r="A17" s="95"/>
      <c r="B17" s="96" t="s">
        <v>111</v>
      </c>
      <c r="C17" s="96" t="s">
        <v>120</v>
      </c>
      <c r="H17" s="1"/>
      <c r="I17" s="1"/>
      <c r="J17" s="2"/>
    </row>
    <row r="18" spans="1:10" ht="12.75">
      <c r="A18" s="15"/>
      <c r="B18" s="34" t="s">
        <v>45</v>
      </c>
      <c r="C18" s="34" t="s">
        <v>121</v>
      </c>
      <c r="H18" s="1"/>
      <c r="I18" s="1"/>
      <c r="J18" s="2"/>
    </row>
    <row r="19" spans="1:10" ht="12.75">
      <c r="A19" s="88"/>
      <c r="B19" s="34" t="s">
        <v>119</v>
      </c>
      <c r="C19" s="34" t="s">
        <v>122</v>
      </c>
      <c r="E19" s="87"/>
      <c r="F19" s="49" t="s">
        <v>111</v>
      </c>
      <c r="G19" s="49" t="s">
        <v>41</v>
      </c>
      <c r="H19" s="49" t="s">
        <v>42</v>
      </c>
      <c r="I19" s="1"/>
      <c r="J19" s="2"/>
    </row>
    <row r="20" spans="1:10" ht="12.75">
      <c r="A20" s="88"/>
      <c r="B20" s="34" t="s">
        <v>120</v>
      </c>
      <c r="C20" s="34" t="s">
        <v>46</v>
      </c>
      <c r="E20" s="88"/>
      <c r="F20" s="64" t="s">
        <v>45</v>
      </c>
      <c r="G20" s="64" t="s">
        <v>112</v>
      </c>
      <c r="H20" s="64" t="s">
        <v>46</v>
      </c>
      <c r="I20" s="1"/>
      <c r="J20" s="2"/>
    </row>
    <row r="21" spans="1:10" ht="12.75">
      <c r="A21" s="65" t="s">
        <v>27</v>
      </c>
      <c r="B21" s="65" t="s">
        <v>47</v>
      </c>
      <c r="C21" s="65" t="s">
        <v>123</v>
      </c>
      <c r="E21" s="65" t="s">
        <v>27</v>
      </c>
      <c r="F21" s="65" t="s">
        <v>47</v>
      </c>
      <c r="G21" s="65" t="s">
        <v>28</v>
      </c>
      <c r="H21" s="65" t="s">
        <v>29</v>
      </c>
      <c r="I21" s="1"/>
      <c r="J21" s="2"/>
    </row>
    <row r="22" spans="1:10" ht="12.75">
      <c r="A22" s="5">
        <v>0</v>
      </c>
      <c r="B22" s="100">
        <v>0.0641</v>
      </c>
      <c r="C22" s="108">
        <v>1</v>
      </c>
      <c r="E22" s="5" t="s">
        <v>30</v>
      </c>
      <c r="F22" s="97">
        <f>B22/4</f>
        <v>0.016025</v>
      </c>
      <c r="G22" s="89">
        <v>1000000</v>
      </c>
      <c r="H22" s="86">
        <f>G22*C22</f>
        <v>1000000</v>
      </c>
      <c r="I22" s="1"/>
      <c r="J22" s="2"/>
    </row>
    <row r="23" spans="1:10" ht="12.75">
      <c r="A23" s="6">
        <v>1</v>
      </c>
      <c r="B23" s="102">
        <v>0.0641</v>
      </c>
      <c r="C23" s="109">
        <v>0.998851</v>
      </c>
      <c r="E23" s="6" t="s">
        <v>31</v>
      </c>
      <c r="F23" s="116">
        <f aca="true" t="shared" si="0" ref="F23:F30">B23/4</f>
        <v>0.016025</v>
      </c>
      <c r="G23" s="70">
        <v>1000000</v>
      </c>
      <c r="H23" s="58">
        <f aca="true" t="shared" si="1" ref="H23:H30">G23*C23</f>
        <v>998851</v>
      </c>
      <c r="I23" s="1"/>
      <c r="J23" s="2"/>
    </row>
    <row r="24" spans="1:10" ht="12.75">
      <c r="A24" s="7">
        <v>2</v>
      </c>
      <c r="B24" s="103">
        <v>0.0648</v>
      </c>
      <c r="C24" s="110">
        <v>1</v>
      </c>
      <c r="E24" s="7" t="s">
        <v>32</v>
      </c>
      <c r="F24" s="117">
        <f t="shared" si="0"/>
        <v>0.0162</v>
      </c>
      <c r="G24" s="72">
        <v>1000000</v>
      </c>
      <c r="H24" s="59">
        <f t="shared" si="1"/>
        <v>1000000</v>
      </c>
      <c r="I24" s="1"/>
      <c r="J24" s="2"/>
    </row>
    <row r="25" spans="1:10" ht="12.75">
      <c r="A25" s="8">
        <v>3</v>
      </c>
      <c r="B25" s="104">
        <v>0.0641</v>
      </c>
      <c r="C25" s="111">
        <v>1.001074</v>
      </c>
      <c r="E25" s="8" t="s">
        <v>154</v>
      </c>
      <c r="F25" s="118">
        <f t="shared" si="0"/>
        <v>0.016025</v>
      </c>
      <c r="G25" s="74">
        <v>1000000</v>
      </c>
      <c r="H25" s="60">
        <f t="shared" si="1"/>
        <v>1001074</v>
      </c>
      <c r="I25" s="9"/>
      <c r="J25" s="10"/>
    </row>
    <row r="26" spans="1:10" ht="12.75">
      <c r="A26" s="11">
        <v>4</v>
      </c>
      <c r="B26" s="105">
        <v>0.0632</v>
      </c>
      <c r="C26" s="112">
        <v>0.988645</v>
      </c>
      <c r="E26" s="11" t="s">
        <v>34</v>
      </c>
      <c r="F26" s="119">
        <f t="shared" si="0"/>
        <v>0.0158</v>
      </c>
      <c r="G26" s="76">
        <v>1000000</v>
      </c>
      <c r="H26" s="61">
        <f t="shared" si="1"/>
        <v>988645</v>
      </c>
      <c r="I26" s="9"/>
      <c r="J26" s="10"/>
    </row>
    <row r="27" spans="1:10" ht="12.75">
      <c r="A27" s="82">
        <v>5</v>
      </c>
      <c r="B27" s="106">
        <v>0.076</v>
      </c>
      <c r="C27" s="113">
        <v>0.990615</v>
      </c>
      <c r="E27" s="82" t="s">
        <v>51</v>
      </c>
      <c r="F27" s="120">
        <f t="shared" si="0"/>
        <v>0.019</v>
      </c>
      <c r="G27" s="78">
        <v>1000000</v>
      </c>
      <c r="H27" s="62">
        <f t="shared" si="1"/>
        <v>990615</v>
      </c>
      <c r="I27" s="9"/>
      <c r="J27" s="10"/>
    </row>
    <row r="28" spans="1:10" ht="12.75">
      <c r="A28" s="83">
        <v>6</v>
      </c>
      <c r="B28" s="102">
        <v>0.0771</v>
      </c>
      <c r="C28" s="109">
        <v>0.993152</v>
      </c>
      <c r="E28" s="83" t="s">
        <v>52</v>
      </c>
      <c r="F28" s="116">
        <f t="shared" si="0"/>
        <v>0.019275</v>
      </c>
      <c r="G28" s="70">
        <v>1000000</v>
      </c>
      <c r="H28" s="58">
        <f t="shared" si="1"/>
        <v>993152</v>
      </c>
      <c r="I28" s="9"/>
      <c r="J28" s="10"/>
    </row>
    <row r="29" spans="1:10" ht="12.75">
      <c r="A29" s="84">
        <v>7</v>
      </c>
      <c r="B29" s="101">
        <v>0.0782</v>
      </c>
      <c r="C29" s="114">
        <v>0.997521</v>
      </c>
      <c r="E29" s="84" t="s">
        <v>53</v>
      </c>
      <c r="F29" s="121">
        <f t="shared" si="0"/>
        <v>0.01955</v>
      </c>
      <c r="G29" s="68">
        <v>1000000</v>
      </c>
      <c r="H29" s="57">
        <f t="shared" si="1"/>
        <v>997521</v>
      </c>
      <c r="I29" s="9"/>
      <c r="J29" s="10"/>
    </row>
    <row r="30" spans="1:10" ht="12.75">
      <c r="A30" s="85">
        <v>8</v>
      </c>
      <c r="B30" s="107">
        <v>0.0742</v>
      </c>
      <c r="C30" s="115">
        <v>0</v>
      </c>
      <c r="E30" s="85" t="s">
        <v>49</v>
      </c>
      <c r="F30" s="122">
        <f t="shared" si="0"/>
        <v>0.01855</v>
      </c>
      <c r="G30" s="80">
        <v>1000000</v>
      </c>
      <c r="H30" s="63">
        <f t="shared" si="1"/>
        <v>0</v>
      </c>
      <c r="I30" s="12"/>
      <c r="J30" s="10"/>
    </row>
    <row r="31" spans="1:10" ht="12.75">
      <c r="A31" s="243"/>
      <c r="B31" s="244"/>
      <c r="C31" s="245"/>
      <c r="E31" s="243"/>
      <c r="F31" s="246"/>
      <c r="G31" s="247"/>
      <c r="H31" s="243"/>
      <c r="I31" s="12"/>
      <c r="J31" s="10"/>
    </row>
    <row r="32" spans="1:10" s="21" customFormat="1" ht="12.75">
      <c r="A32" s="248"/>
      <c r="B32" s="249"/>
      <c r="C32" s="250"/>
      <c r="E32" s="248"/>
      <c r="F32" s="251"/>
      <c r="G32" s="252"/>
      <c r="H32" s="248"/>
      <c r="I32" s="253"/>
      <c r="J32" s="50"/>
    </row>
    <row r="34" spans="1:3" ht="12.75">
      <c r="A34" s="91">
        <v>1</v>
      </c>
      <c r="B34" s="29" t="s">
        <v>115</v>
      </c>
      <c r="C34" s="28"/>
    </row>
    <row r="35" spans="1:2" ht="12.75">
      <c r="A35" s="4">
        <v>1</v>
      </c>
      <c r="B35" s="123" t="s">
        <v>322</v>
      </c>
    </row>
    <row r="36" spans="1:2" ht="12.75">
      <c r="A36" s="4">
        <v>1</v>
      </c>
      <c r="B36" s="123"/>
    </row>
    <row r="37" spans="1:2" ht="12.75">
      <c r="A37" s="4">
        <v>1</v>
      </c>
      <c r="B37" s="123"/>
    </row>
    <row r="38" spans="1:2" ht="12.75">
      <c r="A38" s="4">
        <v>1</v>
      </c>
      <c r="B38" s="123"/>
    </row>
    <row r="39" spans="1:2" ht="12.75">
      <c r="A39" s="4">
        <v>1</v>
      </c>
      <c r="B39" s="123"/>
    </row>
    <row r="40" spans="1:2" ht="12.75">
      <c r="A40" s="4">
        <v>1</v>
      </c>
      <c r="B40" s="123"/>
    </row>
    <row r="41" spans="1:2" ht="12.75">
      <c r="A41" s="4">
        <v>1</v>
      </c>
      <c r="B41" s="123"/>
    </row>
    <row r="42" spans="1:2" ht="12.75">
      <c r="A42" s="4">
        <v>1</v>
      </c>
      <c r="B42" s="123"/>
    </row>
    <row r="43" spans="1:2" ht="12.75">
      <c r="A43" s="4">
        <v>1</v>
      </c>
      <c r="B43" s="123"/>
    </row>
    <row r="44" spans="1:10" s="21" customFormat="1" ht="12.75">
      <c r="A44" s="4">
        <v>1</v>
      </c>
      <c r="B44" s="249"/>
      <c r="C44" s="250"/>
      <c r="E44" s="248"/>
      <c r="F44" s="251"/>
      <c r="G44" s="252"/>
      <c r="H44" s="248"/>
      <c r="I44" s="253"/>
      <c r="J44" s="50"/>
    </row>
    <row r="45" spans="1:10" s="21" customFormat="1" ht="12.75">
      <c r="A45" s="4">
        <v>1</v>
      </c>
      <c r="B45" s="249"/>
      <c r="C45" s="250"/>
      <c r="E45" s="248"/>
      <c r="F45" s="251"/>
      <c r="G45" s="252"/>
      <c r="H45" s="248"/>
      <c r="I45" s="253"/>
      <c r="J45" s="50"/>
    </row>
    <row r="46" spans="1:10" s="21" customFormat="1" ht="12.75">
      <c r="A46" s="4">
        <v>1</v>
      </c>
      <c r="B46" s="249"/>
      <c r="C46" s="250"/>
      <c r="E46" s="248"/>
      <c r="F46" s="251"/>
      <c r="G46" s="252"/>
      <c r="H46" s="248"/>
      <c r="I46" s="253"/>
      <c r="J46" s="50"/>
    </row>
    <row r="47" spans="1:10" s="21" customFormat="1" ht="12.75">
      <c r="A47" s="4">
        <v>1</v>
      </c>
      <c r="B47" s="249"/>
      <c r="C47" s="250"/>
      <c r="E47" s="248"/>
      <c r="F47" s="251"/>
      <c r="G47" s="252"/>
      <c r="H47" s="248"/>
      <c r="I47" s="253"/>
      <c r="J47" s="50"/>
    </row>
    <row r="48" spans="1:10" s="21" customFormat="1" ht="12.75">
      <c r="A48" s="4">
        <v>1</v>
      </c>
      <c r="B48" s="249"/>
      <c r="C48" s="250"/>
      <c r="E48" s="248"/>
      <c r="F48" s="251"/>
      <c r="G48" s="252"/>
      <c r="H48" s="248"/>
      <c r="I48" s="253"/>
      <c r="J48" s="50"/>
    </row>
    <row r="49" spans="1:10" s="21" customFormat="1" ht="12.75">
      <c r="A49" s="4">
        <v>1</v>
      </c>
      <c r="B49" s="249"/>
      <c r="C49" s="250"/>
      <c r="E49" s="248"/>
      <c r="F49" s="251"/>
      <c r="G49" s="252"/>
      <c r="H49" s="248"/>
      <c r="I49" s="253"/>
      <c r="J49" s="50"/>
    </row>
    <row r="50" spans="1:10" s="21" customFormat="1" ht="12.75">
      <c r="A50" s="4">
        <v>1</v>
      </c>
      <c r="B50" s="249"/>
      <c r="C50" s="250"/>
      <c r="E50" s="248"/>
      <c r="F50" s="251"/>
      <c r="G50" s="252"/>
      <c r="H50" s="248"/>
      <c r="I50" s="253"/>
      <c r="J50" s="50"/>
    </row>
    <row r="51" spans="1:10" s="21" customFormat="1" ht="12.75">
      <c r="A51" s="4">
        <v>1</v>
      </c>
      <c r="B51" s="249"/>
      <c r="C51" s="250"/>
      <c r="E51" s="248"/>
      <c r="F51" s="251"/>
      <c r="G51" s="252"/>
      <c r="H51" s="248"/>
      <c r="I51" s="253"/>
      <c r="J51" s="50"/>
    </row>
    <row r="52" spans="1:10" s="21" customFormat="1" ht="12.75">
      <c r="A52" s="4">
        <v>1</v>
      </c>
      <c r="B52" s="249"/>
      <c r="C52" s="250"/>
      <c r="E52" s="248"/>
      <c r="F52" s="251"/>
      <c r="G52" s="252"/>
      <c r="H52" s="248"/>
      <c r="I52" s="253"/>
      <c r="J52" s="50"/>
    </row>
    <row r="53" spans="1:10" s="21" customFormat="1" ht="12.75">
      <c r="A53" s="4">
        <v>1</v>
      </c>
      <c r="B53" s="249"/>
      <c r="C53" s="250"/>
      <c r="E53" s="248"/>
      <c r="F53" s="251"/>
      <c r="G53" s="252"/>
      <c r="H53" s="248"/>
      <c r="I53" s="253"/>
      <c r="J53" s="50"/>
    </row>
    <row r="54" spans="1:10" s="21" customFormat="1" ht="12.75">
      <c r="A54" s="4">
        <v>1</v>
      </c>
      <c r="B54" s="249"/>
      <c r="C54" s="250"/>
      <c r="E54" s="248"/>
      <c r="F54" s="251"/>
      <c r="G54" s="252"/>
      <c r="H54" s="248"/>
      <c r="I54" s="253"/>
      <c r="J54" s="50"/>
    </row>
    <row r="55" spans="1:10" s="21" customFormat="1" ht="12.75">
      <c r="A55" s="4">
        <v>1</v>
      </c>
      <c r="B55" s="249"/>
      <c r="C55" s="250"/>
      <c r="E55" s="248"/>
      <c r="F55" s="251"/>
      <c r="G55" s="252"/>
      <c r="H55" s="248"/>
      <c r="I55" s="253"/>
      <c r="J55" s="50"/>
    </row>
    <row r="56" spans="1:10" s="21" customFormat="1" ht="12.75">
      <c r="A56" s="4">
        <v>1</v>
      </c>
      <c r="B56" s="249"/>
      <c r="C56" s="250"/>
      <c r="E56" s="248"/>
      <c r="F56" s="251"/>
      <c r="G56" s="252"/>
      <c r="H56" s="248"/>
      <c r="I56" s="253"/>
      <c r="J56" s="50"/>
    </row>
    <row r="57" spans="1:10" s="21" customFormat="1" ht="12.75">
      <c r="A57" s="4">
        <v>1</v>
      </c>
      <c r="B57" s="249"/>
      <c r="C57" s="250"/>
      <c r="E57" s="248"/>
      <c r="F57" s="251"/>
      <c r="G57" s="252"/>
      <c r="H57" s="248"/>
      <c r="I57" s="253"/>
      <c r="J57" s="50"/>
    </row>
    <row r="58" spans="1:10" s="21" customFormat="1" ht="12.75">
      <c r="A58" s="4">
        <v>1</v>
      </c>
      <c r="B58" s="249"/>
      <c r="C58" s="250"/>
      <c r="E58" s="248"/>
      <c r="F58" s="251"/>
      <c r="G58" s="252"/>
      <c r="H58" s="248"/>
      <c r="I58" s="253"/>
      <c r="J58" s="50"/>
    </row>
    <row r="59" spans="1:10" s="21" customFormat="1" ht="12.75">
      <c r="A59" s="4">
        <v>1</v>
      </c>
      <c r="B59" s="249"/>
      <c r="C59" s="250"/>
      <c r="E59" s="248"/>
      <c r="F59" s="251"/>
      <c r="G59" s="252"/>
      <c r="H59" s="248"/>
      <c r="I59" s="253"/>
      <c r="J59" s="50"/>
    </row>
    <row r="60" spans="1:10" s="21" customFormat="1" ht="12.75">
      <c r="A60" s="4">
        <v>1</v>
      </c>
      <c r="B60" s="249"/>
      <c r="C60" s="250"/>
      <c r="E60" s="248"/>
      <c r="F60" s="251"/>
      <c r="G60" s="252"/>
      <c r="H60" s="248"/>
      <c r="I60" s="253"/>
      <c r="J60" s="50"/>
    </row>
    <row r="61" spans="1:10" s="21" customFormat="1" ht="12.75">
      <c r="A61" s="4">
        <v>1</v>
      </c>
      <c r="B61" s="249"/>
      <c r="C61" s="250"/>
      <c r="E61" s="248"/>
      <c r="F61" s="251"/>
      <c r="G61" s="252"/>
      <c r="H61" s="248"/>
      <c r="I61" s="253"/>
      <c r="J61" s="50"/>
    </row>
    <row r="62" spans="1:10" s="21" customFormat="1" ht="12.75">
      <c r="A62" s="4">
        <v>1</v>
      </c>
      <c r="B62" s="249"/>
      <c r="C62" s="250"/>
      <c r="E62" s="248"/>
      <c r="F62" s="251"/>
      <c r="G62" s="252"/>
      <c r="H62" s="248"/>
      <c r="I62" s="253"/>
      <c r="J62" s="50"/>
    </row>
    <row r="63" spans="1:10" s="21" customFormat="1" ht="12.75">
      <c r="A63" s="4">
        <v>1</v>
      </c>
      <c r="B63" s="249"/>
      <c r="C63" s="250"/>
      <c r="E63" s="248"/>
      <c r="F63" s="251"/>
      <c r="G63" s="252"/>
      <c r="H63" s="248"/>
      <c r="I63" s="253"/>
      <c r="J63" s="50"/>
    </row>
    <row r="64" spans="1:10" s="21" customFormat="1" ht="12.75">
      <c r="A64" s="4">
        <v>1</v>
      </c>
      <c r="B64" s="249"/>
      <c r="C64" s="250"/>
      <c r="E64" s="248"/>
      <c r="F64" s="251"/>
      <c r="G64" s="252"/>
      <c r="H64" s="248"/>
      <c r="I64" s="253"/>
      <c r="J64" s="50"/>
    </row>
    <row r="65" spans="1:10" s="21" customFormat="1" ht="12.75">
      <c r="A65" s="4">
        <v>1</v>
      </c>
      <c r="B65" s="249"/>
      <c r="C65" s="250"/>
      <c r="E65" s="248"/>
      <c r="F65" s="251"/>
      <c r="G65" s="252"/>
      <c r="H65" s="248"/>
      <c r="I65" s="253"/>
      <c r="J65" s="50"/>
    </row>
    <row r="66" spans="1:10" s="21" customFormat="1" ht="12.75">
      <c r="A66" s="4">
        <v>1</v>
      </c>
      <c r="B66" s="249"/>
      <c r="C66" s="250"/>
      <c r="E66" s="248"/>
      <c r="F66" s="251"/>
      <c r="G66" s="252"/>
      <c r="H66" s="248"/>
      <c r="I66" s="253"/>
      <c r="J66" s="50"/>
    </row>
    <row r="67" spans="1:10" s="21" customFormat="1" ht="12.75">
      <c r="A67" s="4">
        <v>1</v>
      </c>
      <c r="B67" s="249"/>
      <c r="C67" s="250"/>
      <c r="E67" s="248"/>
      <c r="F67" s="251"/>
      <c r="G67" s="252"/>
      <c r="H67" s="248"/>
      <c r="I67" s="253"/>
      <c r="J67" s="50"/>
    </row>
    <row r="68" spans="1:10" s="21" customFormat="1" ht="12.75">
      <c r="A68" s="4">
        <v>1</v>
      </c>
      <c r="B68" s="249"/>
      <c r="C68" s="250"/>
      <c r="E68" s="248"/>
      <c r="F68" s="251"/>
      <c r="G68" s="252"/>
      <c r="H68" s="248"/>
      <c r="I68" s="253"/>
      <c r="J68" s="50"/>
    </row>
    <row r="69" spans="1:10" s="21" customFormat="1" ht="12.75">
      <c r="A69" s="4">
        <v>1</v>
      </c>
      <c r="B69" s="249"/>
      <c r="C69" s="250"/>
      <c r="E69" s="248"/>
      <c r="F69" s="251"/>
      <c r="G69" s="252"/>
      <c r="H69" s="248"/>
      <c r="I69" s="253"/>
      <c r="J69" s="50"/>
    </row>
    <row r="70" spans="1:10" s="21" customFormat="1" ht="12.75">
      <c r="A70" s="4">
        <v>1</v>
      </c>
      <c r="B70" s="249"/>
      <c r="C70" s="250"/>
      <c r="E70" s="248"/>
      <c r="F70" s="251"/>
      <c r="G70" s="252"/>
      <c r="H70" s="248"/>
      <c r="I70" s="253"/>
      <c r="J70" s="50"/>
    </row>
    <row r="71" spans="1:10" s="21" customFormat="1" ht="12.75">
      <c r="A71" s="4">
        <v>1</v>
      </c>
      <c r="B71" s="249"/>
      <c r="C71" s="250"/>
      <c r="E71" s="248"/>
      <c r="F71" s="251"/>
      <c r="G71" s="252"/>
      <c r="H71" s="248"/>
      <c r="I71" s="253"/>
      <c r="J71" s="50"/>
    </row>
    <row r="72" spans="1:10" s="21" customFormat="1" ht="12.75">
      <c r="A72" s="4">
        <v>1</v>
      </c>
      <c r="B72" s="249"/>
      <c r="C72" s="250"/>
      <c r="E72" s="248"/>
      <c r="F72" s="251"/>
      <c r="G72" s="252"/>
      <c r="H72" s="248"/>
      <c r="I72" s="253"/>
      <c r="J72" s="50"/>
    </row>
    <row r="73" spans="1:10" s="21" customFormat="1" ht="12.75">
      <c r="A73" s="4">
        <v>1</v>
      </c>
      <c r="B73" s="249"/>
      <c r="C73" s="250"/>
      <c r="E73" s="248"/>
      <c r="F73" s="251"/>
      <c r="G73" s="252"/>
      <c r="H73" s="248"/>
      <c r="I73" s="253"/>
      <c r="J73" s="50"/>
    </row>
    <row r="74" spans="1:10" s="21" customFormat="1" ht="12.75">
      <c r="A74" s="4">
        <v>1</v>
      </c>
      <c r="B74" s="249"/>
      <c r="C74" s="250"/>
      <c r="E74" s="248"/>
      <c r="F74" s="251"/>
      <c r="G74" s="252"/>
      <c r="H74" s="248"/>
      <c r="I74" s="253"/>
      <c r="J74" s="50"/>
    </row>
    <row r="75" spans="1:10" s="21" customFormat="1" ht="12.75">
      <c r="A75" s="4"/>
      <c r="B75" s="249"/>
      <c r="C75" s="250"/>
      <c r="E75" s="248"/>
      <c r="F75" s="251"/>
      <c r="G75" s="252"/>
      <c r="H75" s="248"/>
      <c r="I75" s="253"/>
      <c r="J75" s="50"/>
    </row>
    <row r="77" spans="1:3" ht="12.75">
      <c r="A77" s="91">
        <v>2</v>
      </c>
      <c r="B77" s="29" t="s">
        <v>115</v>
      </c>
      <c r="C77" s="28"/>
    </row>
    <row r="78" spans="1:2" ht="12.75">
      <c r="A78" s="4">
        <v>2</v>
      </c>
      <c r="B78" s="123" t="s">
        <v>156</v>
      </c>
    </row>
    <row r="79" spans="1:2" ht="12.75">
      <c r="A79" s="4">
        <v>2</v>
      </c>
      <c r="B79" s="1" t="s">
        <v>157</v>
      </c>
    </row>
    <row r="80" spans="1:2" ht="12.75">
      <c r="A80" s="4"/>
      <c r="B80" s="1"/>
    </row>
    <row r="81" spans="1:2" ht="12.75">
      <c r="A81" s="4">
        <v>2</v>
      </c>
      <c r="B81" s="1" t="s">
        <v>158</v>
      </c>
    </row>
    <row r="82" spans="1:2" ht="12.75">
      <c r="A82" s="4">
        <v>2</v>
      </c>
      <c r="B82" s="1" t="s">
        <v>155</v>
      </c>
    </row>
    <row r="83" spans="1:2" ht="12.75">
      <c r="A83" s="4">
        <v>2</v>
      </c>
      <c r="B83" s="1" t="s">
        <v>0</v>
      </c>
    </row>
    <row r="84" spans="1:2" ht="12.75">
      <c r="A84" s="4">
        <v>2</v>
      </c>
      <c r="B84" s="1" t="s">
        <v>1</v>
      </c>
    </row>
    <row r="85" spans="1:2" ht="12.75">
      <c r="A85" s="4">
        <v>2</v>
      </c>
      <c r="B85" s="1" t="s">
        <v>2</v>
      </c>
    </row>
    <row r="86" spans="1:2" ht="12.75">
      <c r="A86" s="4">
        <v>2</v>
      </c>
      <c r="B86" s="1"/>
    </row>
    <row r="87" spans="1:2" ht="12.75">
      <c r="A87" s="4">
        <v>2</v>
      </c>
      <c r="B87" s="1" t="s">
        <v>3</v>
      </c>
    </row>
    <row r="88" spans="1:2" ht="12.75">
      <c r="A88" s="4">
        <v>2</v>
      </c>
      <c r="B88" s="1" t="s">
        <v>11</v>
      </c>
    </row>
    <row r="89" spans="1:2" ht="12.75">
      <c r="A89" s="4">
        <v>2</v>
      </c>
      <c r="B89" s="1" t="s">
        <v>4</v>
      </c>
    </row>
    <row r="90" spans="1:2" ht="12.75">
      <c r="A90" s="4">
        <v>2</v>
      </c>
      <c r="B90" s="1" t="s">
        <v>5</v>
      </c>
    </row>
    <row r="91" spans="1:2" ht="12.75">
      <c r="A91" s="4">
        <v>2</v>
      </c>
      <c r="B91" s="1" t="s">
        <v>6</v>
      </c>
    </row>
    <row r="92" spans="1:2" ht="12.75">
      <c r="A92" s="4">
        <v>2</v>
      </c>
      <c r="B92" s="1" t="s">
        <v>7</v>
      </c>
    </row>
    <row r="93" spans="1:2" ht="12.75">
      <c r="A93" s="4">
        <v>2</v>
      </c>
      <c r="B93" s="1"/>
    </row>
    <row r="94" spans="1:4" ht="12.75">
      <c r="A94" s="4">
        <v>2</v>
      </c>
      <c r="B94" s="1"/>
      <c r="C94" s="132">
        <f>PMT(B24/4,7,,-1149)</f>
        <v>156.33640729392258</v>
      </c>
      <c r="D94" s="14" t="s">
        <v>159</v>
      </c>
    </row>
    <row r="95" spans="1:4" ht="12.75">
      <c r="A95" s="4">
        <v>2</v>
      </c>
      <c r="B95" s="1"/>
      <c r="C95" s="133">
        <f>RATE(7,C94,,-1149)</f>
        <v>0.01620000000185737</v>
      </c>
      <c r="D95" s="134" t="s">
        <v>9</v>
      </c>
    </row>
    <row r="96" spans="1:4" ht="12.75">
      <c r="A96" s="4">
        <v>2</v>
      </c>
      <c r="B96" s="1"/>
      <c r="C96" s="135">
        <f>PV(C95,7,C94)</f>
        <v>-1026.7523243207106</v>
      </c>
      <c r="D96" s="134" t="s">
        <v>8</v>
      </c>
    </row>
    <row r="97" spans="1:4" ht="12.75">
      <c r="A97" s="4">
        <v>2</v>
      </c>
      <c r="B97" s="1"/>
      <c r="C97" s="135">
        <f>FV(C95,7,C94)</f>
        <v>-1149.0000000064374</v>
      </c>
      <c r="D97" s="134" t="s">
        <v>10</v>
      </c>
    </row>
    <row r="98" spans="1:4" ht="12.75">
      <c r="A98" s="4">
        <v>2</v>
      </c>
      <c r="B98" s="1"/>
      <c r="C98" s="135"/>
      <c r="D98" s="134"/>
    </row>
    <row r="99" spans="1:4" ht="12.75">
      <c r="A99" s="4" t="s">
        <v>35</v>
      </c>
      <c r="B99" s="1"/>
      <c r="C99" s="136"/>
      <c r="D99" s="14"/>
    </row>
    <row r="100" spans="1:2" ht="12.75">
      <c r="A100" s="91">
        <v>3</v>
      </c>
      <c r="B100" s="29" t="s">
        <v>115</v>
      </c>
    </row>
    <row r="101" spans="1:2" ht="12.75">
      <c r="A101" s="4">
        <v>3</v>
      </c>
      <c r="B101" s="123" t="s">
        <v>266</v>
      </c>
    </row>
    <row r="102" spans="1:2" ht="12.75">
      <c r="A102" s="4">
        <v>3</v>
      </c>
      <c r="B102" s="1" t="s">
        <v>265</v>
      </c>
    </row>
    <row r="103" spans="1:2" ht="12.75">
      <c r="A103" s="4">
        <v>3</v>
      </c>
      <c r="B103" s="1" t="s">
        <v>267</v>
      </c>
    </row>
    <row r="104" spans="1:2" ht="12.75">
      <c r="A104" s="4">
        <v>3</v>
      </c>
      <c r="B104" s="1" t="s">
        <v>274</v>
      </c>
    </row>
    <row r="105" spans="1:2" ht="12.75">
      <c r="A105" s="4">
        <v>3</v>
      </c>
      <c r="B105" s="1"/>
    </row>
    <row r="106" spans="1:7" ht="12.75">
      <c r="A106" s="4">
        <v>3</v>
      </c>
      <c r="E106" s="4" t="s">
        <v>209</v>
      </c>
      <c r="F106" s="170" t="s">
        <v>209</v>
      </c>
      <c r="G106" s="1" t="s">
        <v>272</v>
      </c>
    </row>
    <row r="107" spans="1:7" ht="12.75">
      <c r="A107" s="4">
        <v>3</v>
      </c>
      <c r="C107" s="4" t="s">
        <v>275</v>
      </c>
      <c r="E107" s="4" t="s">
        <v>236</v>
      </c>
      <c r="F107" s="170" t="s">
        <v>268</v>
      </c>
      <c r="G107" s="4" t="s">
        <v>43</v>
      </c>
    </row>
    <row r="108" spans="1:7" ht="12.75">
      <c r="A108" s="4">
        <v>3</v>
      </c>
      <c r="C108" s="4" t="s">
        <v>272</v>
      </c>
      <c r="E108" s="4" t="s">
        <v>43</v>
      </c>
      <c r="F108" s="170" t="s">
        <v>269</v>
      </c>
      <c r="G108" s="4" t="s">
        <v>238</v>
      </c>
    </row>
    <row r="109" spans="1:7" ht="13.5" thickBot="1">
      <c r="A109" s="4">
        <v>3</v>
      </c>
      <c r="C109" s="4" t="s">
        <v>200</v>
      </c>
      <c r="E109" s="4" t="s">
        <v>237</v>
      </c>
      <c r="F109" s="170" t="s">
        <v>270</v>
      </c>
      <c r="G109" s="4" t="s">
        <v>271</v>
      </c>
    </row>
    <row r="110" spans="1:7" ht="13.5" thickTop="1">
      <c r="A110" s="4">
        <v>3</v>
      </c>
      <c r="C110" s="256">
        <v>36708</v>
      </c>
      <c r="E110" s="138">
        <v>0</v>
      </c>
      <c r="F110" s="188">
        <v>0</v>
      </c>
      <c r="G110" s="138">
        <f>-F110</f>
        <v>0</v>
      </c>
    </row>
    <row r="111" spans="1:7" ht="12.75">
      <c r="A111" s="4">
        <v>3</v>
      </c>
      <c r="C111" s="257">
        <v>36799</v>
      </c>
      <c r="E111" s="138">
        <v>-174.99999999999807</v>
      </c>
      <c r="F111" s="189">
        <v>1149.3270177278762</v>
      </c>
      <c r="G111" s="138">
        <f>-F111</f>
        <v>-1149.3270177278762</v>
      </c>
    </row>
    <row r="112" spans="1:7" ht="12.75">
      <c r="A112" s="4">
        <v>3</v>
      </c>
      <c r="C112" s="258">
        <v>36891</v>
      </c>
      <c r="E112" s="138">
        <v>0</v>
      </c>
      <c r="F112" s="189">
        <v>0</v>
      </c>
      <c r="G112" s="138">
        <f aca="true" t="shared" si="2" ref="G112:G117">-F112</f>
        <v>0</v>
      </c>
    </row>
    <row r="113" spans="1:7" ht="12.75">
      <c r="A113" s="4">
        <v>3</v>
      </c>
      <c r="C113" s="259">
        <v>36981</v>
      </c>
      <c r="E113" s="138">
        <v>225</v>
      </c>
      <c r="F113" s="189">
        <v>-1073.5805134649675</v>
      </c>
      <c r="G113" s="138">
        <f t="shared" si="2"/>
        <v>1073.5805134649675</v>
      </c>
    </row>
    <row r="114" spans="1:7" ht="12.75">
      <c r="A114" s="4">
        <v>3</v>
      </c>
      <c r="C114" s="260">
        <v>37072</v>
      </c>
      <c r="E114" s="138">
        <v>-2975</v>
      </c>
      <c r="F114" s="189">
        <v>11355.53641569388</v>
      </c>
      <c r="G114" s="138">
        <f t="shared" si="2"/>
        <v>-11355.53641569388</v>
      </c>
    </row>
    <row r="115" spans="1:7" ht="12.75">
      <c r="A115" s="4">
        <v>3</v>
      </c>
      <c r="C115" s="261">
        <v>37164</v>
      </c>
      <c r="E115" s="138">
        <v>-3250</v>
      </c>
      <c r="F115" s="189">
        <v>9385.872160820894</v>
      </c>
      <c r="G115" s="138">
        <f t="shared" si="2"/>
        <v>-9385.872160820894</v>
      </c>
    </row>
    <row r="116" spans="1:7" ht="12.75">
      <c r="A116" s="4">
        <v>3</v>
      </c>
      <c r="C116" s="257">
        <v>37256</v>
      </c>
      <c r="E116" s="138">
        <v>-3525</v>
      </c>
      <c r="F116" s="189">
        <v>6848.519130850615</v>
      </c>
      <c r="G116" s="138">
        <f t="shared" si="2"/>
        <v>-6848.519130850615</v>
      </c>
    </row>
    <row r="117" spans="1:7" ht="13.5" thickBot="1">
      <c r="A117" s="4">
        <v>3</v>
      </c>
      <c r="C117" s="262">
        <v>37346</v>
      </c>
      <c r="E117" s="138">
        <v>-2525</v>
      </c>
      <c r="F117" s="190">
        <v>2479.014285013017</v>
      </c>
      <c r="G117" s="138">
        <f t="shared" si="2"/>
        <v>-2479.014285013017</v>
      </c>
    </row>
    <row r="118" spans="1:6" ht="13.5" thickTop="1">
      <c r="A118" s="4">
        <v>3</v>
      </c>
      <c r="C118" s="263">
        <v>37437</v>
      </c>
      <c r="D118" s="171" t="s">
        <v>273</v>
      </c>
      <c r="E118" s="138">
        <v>-12225</v>
      </c>
      <c r="F118" s="138"/>
    </row>
    <row r="119" ht="12.75">
      <c r="A119" s="4">
        <v>3</v>
      </c>
    </row>
    <row r="120" spans="1:2" ht="18">
      <c r="A120" s="4" t="s">
        <v>35</v>
      </c>
      <c r="B120" s="196" t="s">
        <v>285</v>
      </c>
    </row>
    <row r="121" spans="1:2" ht="12.75">
      <c r="A121" s="197">
        <v>3</v>
      </c>
      <c r="B121" t="s">
        <v>276</v>
      </c>
    </row>
    <row r="122" ht="12.75">
      <c r="A122" s="197">
        <v>3</v>
      </c>
    </row>
    <row r="123" spans="1:5" ht="12.75">
      <c r="A123" s="197">
        <v>3</v>
      </c>
      <c r="B123" s="4" t="s">
        <v>200</v>
      </c>
      <c r="C123" s="4" t="s">
        <v>277</v>
      </c>
      <c r="D123" s="4" t="s">
        <v>203</v>
      </c>
      <c r="E123" s="4" t="s">
        <v>280</v>
      </c>
    </row>
    <row r="124" spans="1:4" ht="12.75">
      <c r="A124" s="197">
        <v>3</v>
      </c>
      <c r="B124" s="165">
        <v>36799</v>
      </c>
      <c r="C124" s="192">
        <f>B24</f>
        <v>0.0648</v>
      </c>
      <c r="D124" s="167">
        <f>F24</f>
        <v>0.0162</v>
      </c>
    </row>
    <row r="125" spans="1:4" ht="12.75">
      <c r="A125" s="197">
        <v>3</v>
      </c>
      <c r="B125" s="165">
        <v>36708</v>
      </c>
      <c r="C125" s="192">
        <f>B23</f>
        <v>0.0641</v>
      </c>
      <c r="D125" s="167">
        <f>F23</f>
        <v>0.016025</v>
      </c>
    </row>
    <row r="126" spans="1:5" ht="12.75">
      <c r="A126" s="197">
        <v>3</v>
      </c>
      <c r="C126" s="171" t="s">
        <v>278</v>
      </c>
      <c r="D126" s="167">
        <f>D124-D125</f>
        <v>0.00017499999999999807</v>
      </c>
      <c r="E126" s="193">
        <f>B124-B125</f>
        <v>91</v>
      </c>
    </row>
    <row r="127" spans="1:5" ht="12.75">
      <c r="A127" s="197">
        <v>3</v>
      </c>
      <c r="C127" t="s">
        <v>279</v>
      </c>
      <c r="D127" s="167">
        <f>4*D126</f>
        <v>0.0006999999999999923</v>
      </c>
      <c r="E127" s="24" t="s">
        <v>281</v>
      </c>
    </row>
    <row r="128" spans="1:4" ht="12.75">
      <c r="A128" s="197">
        <v>3</v>
      </c>
      <c r="C128" s="171" t="s">
        <v>284</v>
      </c>
      <c r="D128" t="s">
        <v>283</v>
      </c>
    </row>
    <row r="129" spans="1:4" ht="12.75">
      <c r="A129" s="197">
        <v>3</v>
      </c>
      <c r="B129" s="191">
        <f>B124</f>
        <v>36799</v>
      </c>
      <c r="C129" s="171" t="s">
        <v>284</v>
      </c>
      <c r="D129" s="194">
        <f>G22*D127*E126/365</f>
        <v>174.52054794520353</v>
      </c>
    </row>
    <row r="130" ht="12.75">
      <c r="A130" s="197">
        <v>3</v>
      </c>
    </row>
    <row r="131" spans="1:2" ht="12.75">
      <c r="A131" s="197">
        <v>3</v>
      </c>
      <c r="B131" t="s">
        <v>286</v>
      </c>
    </row>
    <row r="132" spans="1:2" ht="12.75">
      <c r="A132" s="197">
        <v>3</v>
      </c>
      <c r="B132" t="s">
        <v>287</v>
      </c>
    </row>
    <row r="133" spans="1:2" ht="12.75">
      <c r="A133" s="197">
        <v>3</v>
      </c>
      <c r="B133" t="s">
        <v>288</v>
      </c>
    </row>
    <row r="134" spans="1:8" ht="12.75">
      <c r="A134" s="197">
        <v>3</v>
      </c>
      <c r="B134" s="202"/>
      <c r="C134" s="202"/>
      <c r="D134" s="202"/>
      <c r="E134" s="202"/>
      <c r="F134" s="202"/>
      <c r="G134" s="202"/>
      <c r="H134" s="202"/>
    </row>
    <row r="135" spans="1:8" ht="12.75">
      <c r="A135" s="197">
        <v>3</v>
      </c>
      <c r="D135" s="1"/>
      <c r="E135" s="1"/>
      <c r="F135" s="4" t="s">
        <v>290</v>
      </c>
      <c r="G135" s="4" t="s">
        <v>111</v>
      </c>
      <c r="H135" s="4" t="s">
        <v>111</v>
      </c>
    </row>
    <row r="136" spans="1:8" ht="12.75">
      <c r="A136" s="197">
        <v>3</v>
      </c>
      <c r="D136" s="4" t="s">
        <v>290</v>
      </c>
      <c r="E136" s="137" t="s">
        <v>291</v>
      </c>
      <c r="F136" s="4" t="s">
        <v>289</v>
      </c>
      <c r="G136" s="4" t="s">
        <v>292</v>
      </c>
      <c r="H136" s="4" t="s">
        <v>43</v>
      </c>
    </row>
    <row r="137" spans="1:8" ht="12.75">
      <c r="A137" s="197">
        <v>3</v>
      </c>
      <c r="B137">
        <v>0</v>
      </c>
      <c r="C137" s="165">
        <f aca="true" t="shared" si="3" ref="C137:C145">C110</f>
        <v>36708</v>
      </c>
      <c r="D137" s="24"/>
      <c r="E137" s="138"/>
      <c r="F137" s="24"/>
      <c r="H137" s="4" t="s">
        <v>293</v>
      </c>
    </row>
    <row r="138" spans="1:8" ht="12.75">
      <c r="A138" s="197">
        <v>3</v>
      </c>
      <c r="B138">
        <v>1</v>
      </c>
      <c r="C138" s="165">
        <f t="shared" si="3"/>
        <v>36799</v>
      </c>
      <c r="H138" s="168">
        <f>C138</f>
        <v>36799</v>
      </c>
    </row>
    <row r="139" spans="1:8" ht="12.75">
      <c r="A139" s="197">
        <v>3</v>
      </c>
      <c r="B139">
        <v>2</v>
      </c>
      <c r="C139" s="165">
        <f t="shared" si="3"/>
        <v>36891</v>
      </c>
      <c r="D139" s="167">
        <f>F$23</f>
        <v>0.016025</v>
      </c>
      <c r="E139" s="138">
        <v>1</v>
      </c>
      <c r="F139" s="198">
        <f>PV(D139,B139-B$138,0,-E139)</f>
        <v>0.9842277503014198</v>
      </c>
      <c r="G139" s="199">
        <f>E111</f>
        <v>-174.99999999999807</v>
      </c>
      <c r="H139" s="138">
        <f>G139*F139</f>
        <v>-172.23985630274657</v>
      </c>
    </row>
    <row r="140" spans="1:8" ht="12.75">
      <c r="A140" s="197">
        <v>3</v>
      </c>
      <c r="B140">
        <v>3</v>
      </c>
      <c r="C140" s="165">
        <f t="shared" si="3"/>
        <v>36981</v>
      </c>
      <c r="D140" s="167">
        <f aca="true" t="shared" si="4" ref="D140:D145">F$23</f>
        <v>0.016025</v>
      </c>
      <c r="E140" s="138">
        <v>1</v>
      </c>
      <c r="F140" s="198">
        <f aca="true" t="shared" si="5" ref="F140:F145">PV(D140,B140-B$138,0,-E140)</f>
        <v>0.9687042644633939</v>
      </c>
      <c r="G140" s="199">
        <f aca="true" t="shared" si="6" ref="G140:G145">G139</f>
        <v>-174.99999999999807</v>
      </c>
      <c r="H140" s="138">
        <f aca="true" t="shared" si="7" ref="H140:H145">G140*F140</f>
        <v>-169.52324628109204</v>
      </c>
    </row>
    <row r="141" spans="1:8" ht="12.75">
      <c r="A141" s="197">
        <v>3</v>
      </c>
      <c r="B141">
        <v>4</v>
      </c>
      <c r="C141" s="165">
        <f t="shared" si="3"/>
        <v>37072</v>
      </c>
      <c r="D141" s="167">
        <f t="shared" si="4"/>
        <v>0.016025</v>
      </c>
      <c r="E141" s="138">
        <v>1</v>
      </c>
      <c r="F141" s="198">
        <f t="shared" si="5"/>
        <v>0.9534256189201977</v>
      </c>
      <c r="G141" s="199">
        <f t="shared" si="6"/>
        <v>-174.99999999999807</v>
      </c>
      <c r="H141" s="138">
        <f t="shared" si="7"/>
        <v>-166.84948331103277</v>
      </c>
    </row>
    <row r="142" spans="1:8" ht="12.75">
      <c r="A142" s="197">
        <v>3</v>
      </c>
      <c r="B142">
        <v>5</v>
      </c>
      <c r="C142" s="165">
        <f t="shared" si="3"/>
        <v>37164</v>
      </c>
      <c r="D142" s="167">
        <f t="shared" si="4"/>
        <v>0.016025</v>
      </c>
      <c r="E142" s="138">
        <v>1</v>
      </c>
      <c r="F142" s="198">
        <f t="shared" si="5"/>
        <v>0.9383879519895649</v>
      </c>
      <c r="G142" s="199">
        <f t="shared" si="6"/>
        <v>-174.99999999999807</v>
      </c>
      <c r="H142" s="138">
        <f t="shared" si="7"/>
        <v>-164.21789159817206</v>
      </c>
    </row>
    <row r="143" spans="1:8" ht="12.75">
      <c r="A143" s="197">
        <v>3</v>
      </c>
      <c r="B143">
        <v>6</v>
      </c>
      <c r="C143" s="165">
        <f t="shared" si="3"/>
        <v>37256</v>
      </c>
      <c r="D143" s="167">
        <f t="shared" si="4"/>
        <v>0.016025</v>
      </c>
      <c r="E143" s="138">
        <v>1</v>
      </c>
      <c r="F143" s="198">
        <f t="shared" si="5"/>
        <v>0.9235874628966463</v>
      </c>
      <c r="G143" s="199">
        <f t="shared" si="6"/>
        <v>-174.99999999999807</v>
      </c>
      <c r="H143" s="138">
        <f t="shared" si="7"/>
        <v>-161.62780600691133</v>
      </c>
    </row>
    <row r="144" spans="1:8" ht="12.75">
      <c r="A144" s="197">
        <v>3</v>
      </c>
      <c r="B144">
        <v>7</v>
      </c>
      <c r="C144" s="165">
        <f t="shared" si="3"/>
        <v>37346</v>
      </c>
      <c r="D144" s="167">
        <f t="shared" si="4"/>
        <v>0.016025</v>
      </c>
      <c r="E144" s="138">
        <v>1</v>
      </c>
      <c r="F144" s="198">
        <f t="shared" si="5"/>
        <v>0.909020410813362</v>
      </c>
      <c r="G144" s="199">
        <f t="shared" si="6"/>
        <v>-174.99999999999807</v>
      </c>
      <c r="H144" s="138">
        <f t="shared" si="7"/>
        <v>-159.0785718923366</v>
      </c>
    </row>
    <row r="145" spans="1:8" ht="13.5" thickBot="1">
      <c r="A145" s="197">
        <v>3</v>
      </c>
      <c r="B145">
        <v>8</v>
      </c>
      <c r="C145" s="165">
        <f t="shared" si="3"/>
        <v>37437</v>
      </c>
      <c r="D145" s="167">
        <f t="shared" si="4"/>
        <v>0.016025</v>
      </c>
      <c r="E145" s="138">
        <v>1</v>
      </c>
      <c r="F145" s="198">
        <f t="shared" si="5"/>
        <v>0.8946831139129077</v>
      </c>
      <c r="G145" s="199">
        <f t="shared" si="6"/>
        <v>-174.99999999999807</v>
      </c>
      <c r="H145" s="200">
        <f t="shared" si="7"/>
        <v>-156.56954493475712</v>
      </c>
    </row>
    <row r="146" spans="1:8" ht="13.5" thickTop="1">
      <c r="A146" s="197">
        <v>3</v>
      </c>
      <c r="B146" s="165" t="s">
        <v>35</v>
      </c>
      <c r="G146" s="171" t="s">
        <v>273</v>
      </c>
      <c r="H146" s="201">
        <f>SUM(H139:H145)</f>
        <v>-1150.1064003270485</v>
      </c>
    </row>
    <row r="147" spans="1:8" ht="13.5" thickBot="1">
      <c r="A147" s="197">
        <v>3</v>
      </c>
      <c r="D147" t="s">
        <v>297</v>
      </c>
      <c r="H147" s="200">
        <f>H148-H146</f>
        <v>0.7793825991723224</v>
      </c>
    </row>
    <row r="148" spans="1:9" ht="14.25" thickBot="1" thickTop="1">
      <c r="A148" s="197">
        <v>3</v>
      </c>
      <c r="F148" s="191">
        <f>C138</f>
        <v>36799</v>
      </c>
      <c r="G148" s="171" t="s">
        <v>282</v>
      </c>
      <c r="H148" s="206">
        <f>G111</f>
        <v>-1149.3270177278762</v>
      </c>
      <c r="I148" s="204"/>
    </row>
    <row r="149" spans="1:4" ht="13.5" thickTop="1">
      <c r="A149" s="197">
        <v>3</v>
      </c>
      <c r="D149" s="195" t="s">
        <v>294</v>
      </c>
    </row>
    <row r="150" spans="1:4" ht="12.75">
      <c r="A150" s="197">
        <v>3</v>
      </c>
      <c r="D150" s="195" t="s">
        <v>295</v>
      </c>
    </row>
    <row r="151" spans="1:4" ht="12.75">
      <c r="A151" s="197">
        <v>3</v>
      </c>
      <c r="D151" s="195" t="s">
        <v>296</v>
      </c>
    </row>
    <row r="152" ht="12.75">
      <c r="A152" s="197">
        <v>3</v>
      </c>
    </row>
    <row r="153" spans="1:9" ht="12.75">
      <c r="A153" s="197">
        <v>3</v>
      </c>
      <c r="B153" s="32"/>
      <c r="C153" s="32"/>
      <c r="D153" s="32"/>
      <c r="E153" s="32"/>
      <c r="F153" s="32"/>
      <c r="G153" s="32"/>
      <c r="H153" s="32"/>
      <c r="I153" s="32"/>
    </row>
    <row r="154" spans="1:8" ht="12.75">
      <c r="A154" s="197">
        <v>3</v>
      </c>
      <c r="D154" s="1"/>
      <c r="E154" s="1"/>
      <c r="F154" s="4" t="s">
        <v>290</v>
      </c>
      <c r="G154" s="4" t="s">
        <v>111</v>
      </c>
      <c r="H154" s="4" t="s">
        <v>111</v>
      </c>
    </row>
    <row r="155" spans="1:8" ht="12.75">
      <c r="A155" s="197">
        <v>3</v>
      </c>
      <c r="D155" s="4" t="s">
        <v>290</v>
      </c>
      <c r="E155" s="137" t="s">
        <v>291</v>
      </c>
      <c r="F155" s="4" t="s">
        <v>289</v>
      </c>
      <c r="G155" s="4" t="s">
        <v>292</v>
      </c>
      <c r="H155" s="4" t="s">
        <v>43</v>
      </c>
    </row>
    <row r="156" spans="1:8" ht="12.75">
      <c r="A156" s="197">
        <v>3</v>
      </c>
      <c r="B156">
        <v>0</v>
      </c>
      <c r="C156" s="165">
        <f>C110</f>
        <v>36708</v>
      </c>
      <c r="D156" s="24"/>
      <c r="E156" s="138"/>
      <c r="F156" s="24"/>
      <c r="H156" s="4" t="s">
        <v>293</v>
      </c>
    </row>
    <row r="157" spans="1:9" ht="12.75">
      <c r="A157" s="197">
        <v>3</v>
      </c>
      <c r="B157">
        <v>1</v>
      </c>
      <c r="C157" s="165">
        <f aca="true" t="shared" si="8" ref="C157:C164">C111</f>
        <v>36799</v>
      </c>
      <c r="H157" s="168">
        <f>C158</f>
        <v>36891</v>
      </c>
      <c r="I157" s="39"/>
    </row>
    <row r="158" spans="1:8" ht="12.75">
      <c r="A158" s="197">
        <v>3</v>
      </c>
      <c r="B158">
        <v>2</v>
      </c>
      <c r="C158" s="165">
        <f t="shared" si="8"/>
        <v>36891</v>
      </c>
      <c r="D158" s="167" t="s">
        <v>35</v>
      </c>
      <c r="E158" s="138" t="s">
        <v>35</v>
      </c>
      <c r="F158" s="198" t="s">
        <v>35</v>
      </c>
      <c r="G158" s="199" t="s">
        <v>35</v>
      </c>
      <c r="H158" s="138" t="s">
        <v>35</v>
      </c>
    </row>
    <row r="159" spans="1:8" ht="12.75">
      <c r="A159" s="197">
        <v>3</v>
      </c>
      <c r="B159">
        <v>3</v>
      </c>
      <c r="C159" s="165">
        <f t="shared" si="8"/>
        <v>36981</v>
      </c>
      <c r="D159" s="167">
        <f aca="true" t="shared" si="9" ref="D159:D164">F$24</f>
        <v>0.0162</v>
      </c>
      <c r="E159" s="138">
        <v>1</v>
      </c>
      <c r="F159" s="198">
        <f aca="true" t="shared" si="10" ref="F159:F164">PV(D159,B159-B$158,0,-E159)</f>
        <v>0.98405825624877</v>
      </c>
      <c r="G159" s="199">
        <f>E112</f>
        <v>0</v>
      </c>
      <c r="H159" s="138">
        <f aca="true" t="shared" si="11" ref="H159:H164">G159*F159</f>
        <v>0</v>
      </c>
    </row>
    <row r="160" spans="1:8" ht="12.75">
      <c r="A160" s="197">
        <v>3</v>
      </c>
      <c r="B160">
        <v>4</v>
      </c>
      <c r="C160" s="165">
        <f t="shared" si="8"/>
        <v>37072</v>
      </c>
      <c r="D160" s="167">
        <f t="shared" si="9"/>
        <v>0.0162</v>
      </c>
      <c r="E160" s="138">
        <v>1</v>
      </c>
      <c r="F160" s="198">
        <f t="shared" si="10"/>
        <v>0.9683706516913698</v>
      </c>
      <c r="G160" s="199">
        <f>G159</f>
        <v>0</v>
      </c>
      <c r="H160" s="138">
        <f t="shared" si="11"/>
        <v>0</v>
      </c>
    </row>
    <row r="161" spans="1:8" ht="12.75">
      <c r="A161" s="197">
        <v>3</v>
      </c>
      <c r="B161">
        <v>5</v>
      </c>
      <c r="C161" s="165">
        <f t="shared" si="8"/>
        <v>37164</v>
      </c>
      <c r="D161" s="167">
        <f t="shared" si="9"/>
        <v>0.0162</v>
      </c>
      <c r="E161" s="138">
        <v>1</v>
      </c>
      <c r="F161" s="198">
        <f t="shared" si="10"/>
        <v>0.9529331349058943</v>
      </c>
      <c r="G161" s="199">
        <f>G160</f>
        <v>0</v>
      </c>
      <c r="H161" s="138">
        <f t="shared" si="11"/>
        <v>0</v>
      </c>
    </row>
    <row r="162" spans="1:8" ht="12.75">
      <c r="A162" s="197">
        <v>3</v>
      </c>
      <c r="B162">
        <v>6</v>
      </c>
      <c r="C162" s="165">
        <f t="shared" si="8"/>
        <v>37256</v>
      </c>
      <c r="D162" s="167">
        <f t="shared" si="9"/>
        <v>0.0162</v>
      </c>
      <c r="E162" s="138">
        <v>1</v>
      </c>
      <c r="F162" s="198">
        <f t="shared" si="10"/>
        <v>0.9377417190571683</v>
      </c>
      <c r="G162" s="199">
        <f>G161</f>
        <v>0</v>
      </c>
      <c r="H162" s="138">
        <f t="shared" si="11"/>
        <v>0</v>
      </c>
    </row>
    <row r="163" spans="1:8" ht="12.75">
      <c r="A163" s="197">
        <v>3</v>
      </c>
      <c r="B163">
        <v>7</v>
      </c>
      <c r="C163" s="165">
        <f t="shared" si="8"/>
        <v>37346</v>
      </c>
      <c r="D163" s="167">
        <f t="shared" si="9"/>
        <v>0.0162</v>
      </c>
      <c r="E163" s="138">
        <v>1</v>
      </c>
      <c r="F163" s="198">
        <f t="shared" si="10"/>
        <v>0.922792480867121</v>
      </c>
      <c r="G163" s="199">
        <f>G162</f>
        <v>0</v>
      </c>
      <c r="H163" s="138">
        <f t="shared" si="11"/>
        <v>0</v>
      </c>
    </row>
    <row r="164" spans="1:8" ht="13.5" thickBot="1">
      <c r="A164" s="197">
        <v>3</v>
      </c>
      <c r="B164">
        <v>8</v>
      </c>
      <c r="C164" s="165">
        <f t="shared" si="8"/>
        <v>37437</v>
      </c>
      <c r="D164" s="167">
        <f t="shared" si="9"/>
        <v>0.0162</v>
      </c>
      <c r="E164" s="138">
        <v>1</v>
      </c>
      <c r="F164" s="198">
        <f t="shared" si="10"/>
        <v>0.9080815596015754</v>
      </c>
      <c r="G164" s="199">
        <f>G163</f>
        <v>0</v>
      </c>
      <c r="H164" s="200">
        <f t="shared" si="11"/>
        <v>0</v>
      </c>
    </row>
    <row r="165" spans="1:8" ht="13.5" thickTop="1">
      <c r="A165" s="197">
        <v>3</v>
      </c>
      <c r="B165" s="165" t="s">
        <v>35</v>
      </c>
      <c r="G165" s="171" t="s">
        <v>273</v>
      </c>
      <c r="H165" s="201">
        <f>SUM(H158:H164)</f>
        <v>0</v>
      </c>
    </row>
    <row r="166" spans="1:8" ht="13.5" thickBot="1">
      <c r="A166" s="197">
        <v>3</v>
      </c>
      <c r="D166" t="s">
        <v>297</v>
      </c>
      <c r="H166" s="200">
        <f>H167-H165</f>
        <v>0</v>
      </c>
    </row>
    <row r="167" spans="1:9" ht="14.25" thickBot="1" thickTop="1">
      <c r="A167" s="197">
        <v>3</v>
      </c>
      <c r="F167" s="191">
        <f>C157</f>
        <v>36799</v>
      </c>
      <c r="G167" s="171" t="s">
        <v>282</v>
      </c>
      <c r="H167" s="206">
        <f>G112</f>
        <v>0</v>
      </c>
      <c r="I167" s="39"/>
    </row>
    <row r="168" spans="1:8" ht="13.5" thickTop="1">
      <c r="A168" s="197">
        <v>3</v>
      </c>
      <c r="D168" s="195" t="s">
        <v>294</v>
      </c>
      <c r="H168" s="99">
        <f>F113</f>
        <v>-1073.5805134649675</v>
      </c>
    </row>
    <row r="169" spans="1:4" ht="12.75">
      <c r="A169" s="197">
        <v>3</v>
      </c>
      <c r="D169" s="195" t="s">
        <v>295</v>
      </c>
    </row>
    <row r="170" spans="1:4" ht="12.75">
      <c r="A170" s="197">
        <v>3</v>
      </c>
      <c r="D170" s="195" t="s">
        <v>296</v>
      </c>
    </row>
    <row r="171" ht="12.75">
      <c r="A171" s="197">
        <v>3</v>
      </c>
    </row>
    <row r="172" spans="1:9" ht="12.75">
      <c r="A172" s="197">
        <v>3</v>
      </c>
      <c r="B172" s="35"/>
      <c r="C172" s="35"/>
      <c r="D172" s="35"/>
      <c r="E172" s="35"/>
      <c r="F172" s="35"/>
      <c r="G172" s="35"/>
      <c r="H172" s="35"/>
      <c r="I172" s="35"/>
    </row>
    <row r="173" spans="1:8" ht="12.75">
      <c r="A173" s="197">
        <v>3</v>
      </c>
      <c r="D173" s="1"/>
      <c r="E173" s="1"/>
      <c r="F173" s="4" t="s">
        <v>290</v>
      </c>
      <c r="G173" s="4" t="s">
        <v>111</v>
      </c>
      <c r="H173" s="4" t="s">
        <v>111</v>
      </c>
    </row>
    <row r="174" spans="1:8" ht="12.75">
      <c r="A174" s="197">
        <v>3</v>
      </c>
      <c r="D174" s="4" t="s">
        <v>290</v>
      </c>
      <c r="E174" s="137" t="s">
        <v>291</v>
      </c>
      <c r="F174" s="4" t="s">
        <v>289</v>
      </c>
      <c r="G174" s="4" t="s">
        <v>292</v>
      </c>
      <c r="H174" s="4" t="s">
        <v>43</v>
      </c>
    </row>
    <row r="175" spans="1:8" ht="12.75">
      <c r="A175" s="197">
        <v>3</v>
      </c>
      <c r="B175">
        <v>0</v>
      </c>
      <c r="C175" s="165" t="str">
        <f>C129</f>
        <v>Swap Payment =</v>
      </c>
      <c r="D175" s="24"/>
      <c r="E175" s="138"/>
      <c r="F175" s="24"/>
      <c r="H175" s="4" t="s">
        <v>293</v>
      </c>
    </row>
    <row r="176" spans="1:9" ht="12.75">
      <c r="A176" s="197">
        <v>3</v>
      </c>
      <c r="B176">
        <v>1</v>
      </c>
      <c r="C176" s="165">
        <f>C110</f>
        <v>36708</v>
      </c>
      <c r="H176" s="168">
        <f>C178</f>
        <v>36891</v>
      </c>
      <c r="I176" s="205"/>
    </row>
    <row r="177" spans="1:8" ht="12.75">
      <c r="A177" s="197">
        <v>3</v>
      </c>
      <c r="B177">
        <v>2</v>
      </c>
      <c r="C177" s="165">
        <f aca="true" t="shared" si="12" ref="C177:C183">C111</f>
        <v>36799</v>
      </c>
      <c r="D177" s="167" t="s">
        <v>35</v>
      </c>
      <c r="E177" s="138" t="s">
        <v>35</v>
      </c>
      <c r="F177" s="198" t="s">
        <v>35</v>
      </c>
      <c r="G177" s="199" t="s">
        <v>35</v>
      </c>
      <c r="H177" s="136" t="s">
        <v>35</v>
      </c>
    </row>
    <row r="178" spans="1:8" ht="12.75">
      <c r="A178" s="197">
        <v>3</v>
      </c>
      <c r="B178">
        <v>3</v>
      </c>
      <c r="C178" s="165">
        <f t="shared" si="12"/>
        <v>36891</v>
      </c>
      <c r="D178" s="167" t="s">
        <v>35</v>
      </c>
      <c r="E178" s="138" t="s">
        <v>35</v>
      </c>
      <c r="F178" s="198" t="s">
        <v>35</v>
      </c>
      <c r="G178" s="199" t="s">
        <v>35</v>
      </c>
      <c r="H178" s="138" t="s">
        <v>35</v>
      </c>
    </row>
    <row r="179" spans="1:8" ht="12.75">
      <c r="A179" s="197">
        <v>3</v>
      </c>
      <c r="B179">
        <v>4</v>
      </c>
      <c r="C179" s="165">
        <f t="shared" si="12"/>
        <v>36981</v>
      </c>
      <c r="D179" s="167">
        <f>F$25</f>
        <v>0.016025</v>
      </c>
      <c r="E179" s="138">
        <v>1</v>
      </c>
      <c r="F179" s="198">
        <f>PV(D179,B179-B$178,0,-E179)</f>
        <v>0.9842277503014198</v>
      </c>
      <c r="G179" s="199">
        <f>E113</f>
        <v>225</v>
      </c>
      <c r="H179" s="138">
        <f>G179*F179</f>
        <v>221.45124381781946</v>
      </c>
    </row>
    <row r="180" spans="1:8" ht="12.75">
      <c r="A180" s="197">
        <v>3</v>
      </c>
      <c r="B180">
        <v>5</v>
      </c>
      <c r="C180" s="165">
        <f t="shared" si="12"/>
        <v>37072</v>
      </c>
      <c r="D180" s="167">
        <f>F$25</f>
        <v>0.016025</v>
      </c>
      <c r="E180" s="138">
        <v>1</v>
      </c>
      <c r="F180" s="198">
        <f>PV(D180,B180-B$178,0,-E180)</f>
        <v>0.9687042644633939</v>
      </c>
      <c r="G180" s="199">
        <f>G179</f>
        <v>225</v>
      </c>
      <c r="H180" s="138">
        <f>G180*F180</f>
        <v>217.95845950426363</v>
      </c>
    </row>
    <row r="181" spans="1:8" ht="12.75">
      <c r="A181" s="197">
        <v>3</v>
      </c>
      <c r="B181">
        <v>6</v>
      </c>
      <c r="C181" s="165">
        <f t="shared" si="12"/>
        <v>37164</v>
      </c>
      <c r="D181" s="167">
        <f>F$25</f>
        <v>0.016025</v>
      </c>
      <c r="E181" s="138">
        <v>1</v>
      </c>
      <c r="F181" s="198">
        <f>PV(D181,B181-B$178,0,-E181)</f>
        <v>0.9534256189201977</v>
      </c>
      <c r="G181" s="199">
        <f>G180</f>
        <v>225</v>
      </c>
      <c r="H181" s="138">
        <f>G181*F181</f>
        <v>214.52076425704448</v>
      </c>
    </row>
    <row r="182" spans="1:8" ht="12.75">
      <c r="A182" s="197">
        <v>3</v>
      </c>
      <c r="B182">
        <v>7</v>
      </c>
      <c r="C182" s="165">
        <f t="shared" si="12"/>
        <v>37256</v>
      </c>
      <c r="D182" s="167">
        <f>F$25</f>
        <v>0.016025</v>
      </c>
      <c r="E182" s="138">
        <v>1</v>
      </c>
      <c r="F182" s="198">
        <f>PV(D182,B182-B$178,0,-E182)</f>
        <v>0.9383879519895649</v>
      </c>
      <c r="G182" s="199">
        <f>G181</f>
        <v>225</v>
      </c>
      <c r="H182" s="138">
        <f>G182*F182</f>
        <v>211.1372891976521</v>
      </c>
    </row>
    <row r="183" spans="1:8" ht="13.5" thickBot="1">
      <c r="A183" s="197">
        <v>3</v>
      </c>
      <c r="B183">
        <v>8</v>
      </c>
      <c r="C183" s="165">
        <f t="shared" si="12"/>
        <v>37346</v>
      </c>
      <c r="D183" s="167">
        <f>F$25</f>
        <v>0.016025</v>
      </c>
      <c r="E183" s="138">
        <v>1</v>
      </c>
      <c r="F183" s="198">
        <f>PV(D183,B183-B$178,0,-E183)</f>
        <v>0.9235874628966463</v>
      </c>
      <c r="G183" s="199">
        <f>G182</f>
        <v>225</v>
      </c>
      <c r="H183" s="200">
        <f>G183*F183</f>
        <v>207.8071791517454</v>
      </c>
    </row>
    <row r="184" spans="1:8" ht="13.5" thickTop="1">
      <c r="A184" s="197">
        <v>3</v>
      </c>
      <c r="B184" s="165" t="s">
        <v>35</v>
      </c>
      <c r="G184" s="171" t="s">
        <v>273</v>
      </c>
      <c r="H184" s="201">
        <f>SUM(H177:H183)</f>
        <v>1072.874935928525</v>
      </c>
    </row>
    <row r="185" spans="1:8" ht="13.5" thickBot="1">
      <c r="A185" s="197">
        <v>3</v>
      </c>
      <c r="D185" t="s">
        <v>297</v>
      </c>
      <c r="H185" s="200">
        <f>H186-H184</f>
        <v>0.7055775364424335</v>
      </c>
    </row>
    <row r="186" spans="1:9" ht="14.25" thickBot="1" thickTop="1">
      <c r="A186" s="197">
        <v>3</v>
      </c>
      <c r="F186" s="191">
        <f>C178</f>
        <v>36891</v>
      </c>
      <c r="G186" s="171" t="s">
        <v>282</v>
      </c>
      <c r="H186" s="203">
        <f>G113</f>
        <v>1073.5805134649675</v>
      </c>
      <c r="I186" s="205"/>
    </row>
    <row r="187" spans="1:4" ht="13.5" thickTop="1">
      <c r="A187" s="197">
        <v>3</v>
      </c>
      <c r="D187" s="195" t="s">
        <v>294</v>
      </c>
    </row>
    <row r="188" spans="1:4" ht="12.75">
      <c r="A188" s="197">
        <v>3</v>
      </c>
      <c r="D188" s="195" t="s">
        <v>295</v>
      </c>
    </row>
    <row r="189" spans="1:4" ht="12.75">
      <c r="A189" s="197">
        <v>3</v>
      </c>
      <c r="D189" s="195" t="s">
        <v>296</v>
      </c>
    </row>
    <row r="190" ht="12.75">
      <c r="A190" s="197">
        <v>3</v>
      </c>
    </row>
    <row r="191" spans="1:9" ht="12.75">
      <c r="A191" s="197">
        <v>3</v>
      </c>
      <c r="B191" s="36"/>
      <c r="C191" s="36"/>
      <c r="D191" s="36"/>
      <c r="E191" s="36"/>
      <c r="F191" s="36"/>
      <c r="G191" s="36"/>
      <c r="H191" s="36"/>
      <c r="I191" s="36"/>
    </row>
    <row r="192" spans="1:8" ht="12.75">
      <c r="A192" s="197">
        <v>3</v>
      </c>
      <c r="D192" s="1"/>
      <c r="E192" s="1"/>
      <c r="F192" s="4" t="s">
        <v>290</v>
      </c>
      <c r="G192" s="4" t="s">
        <v>111</v>
      </c>
      <c r="H192" s="4" t="s">
        <v>111</v>
      </c>
    </row>
    <row r="193" spans="1:8" ht="12.75">
      <c r="A193" s="197">
        <v>3</v>
      </c>
      <c r="D193" s="4" t="s">
        <v>290</v>
      </c>
      <c r="E193" s="137" t="s">
        <v>291</v>
      </c>
      <c r="F193" s="4" t="s">
        <v>289</v>
      </c>
      <c r="G193" s="4" t="s">
        <v>292</v>
      </c>
      <c r="H193" s="4" t="s">
        <v>43</v>
      </c>
    </row>
    <row r="194" spans="1:8" ht="12.75">
      <c r="A194" s="197">
        <v>3</v>
      </c>
      <c r="B194">
        <v>0</v>
      </c>
      <c r="C194" s="165">
        <f>C110</f>
        <v>36708</v>
      </c>
      <c r="D194" s="24"/>
      <c r="E194" s="138"/>
      <c r="F194" s="24"/>
      <c r="H194" s="4" t="s">
        <v>293</v>
      </c>
    </row>
    <row r="195" spans="1:8" ht="12.75">
      <c r="A195" s="197">
        <v>3</v>
      </c>
      <c r="B195">
        <v>1</v>
      </c>
      <c r="C195" s="165">
        <f aca="true" t="shared" si="13" ref="C195:C202">C111</f>
        <v>36799</v>
      </c>
      <c r="H195" s="168">
        <f>C198</f>
        <v>37072</v>
      </c>
    </row>
    <row r="196" spans="1:8" ht="12.75">
      <c r="A196" s="197">
        <v>3</v>
      </c>
      <c r="B196">
        <v>2</v>
      </c>
      <c r="C196" s="165">
        <f t="shared" si="13"/>
        <v>36891</v>
      </c>
      <c r="D196" s="167" t="s">
        <v>35</v>
      </c>
      <c r="E196" s="138" t="s">
        <v>35</v>
      </c>
      <c r="F196" s="198" t="s">
        <v>35</v>
      </c>
      <c r="G196" s="199" t="s">
        <v>35</v>
      </c>
      <c r="H196" s="136" t="s">
        <v>35</v>
      </c>
    </row>
    <row r="197" spans="1:8" ht="12.75">
      <c r="A197" s="197">
        <v>3</v>
      </c>
      <c r="B197">
        <v>3</v>
      </c>
      <c r="C197" s="165">
        <f t="shared" si="13"/>
        <v>36981</v>
      </c>
      <c r="D197" s="167" t="s">
        <v>35</v>
      </c>
      <c r="E197" s="138" t="s">
        <v>35</v>
      </c>
      <c r="F197" s="198" t="s">
        <v>35</v>
      </c>
      <c r="G197" s="199" t="s">
        <v>35</v>
      </c>
      <c r="H197" s="138" t="s">
        <v>35</v>
      </c>
    </row>
    <row r="198" spans="1:8" ht="12.75">
      <c r="A198" s="197">
        <v>3</v>
      </c>
      <c r="B198">
        <v>4</v>
      </c>
      <c r="C198" s="165">
        <f t="shared" si="13"/>
        <v>37072</v>
      </c>
      <c r="D198" s="167" t="s">
        <v>35</v>
      </c>
      <c r="E198" s="138" t="s">
        <v>35</v>
      </c>
      <c r="F198" s="198" t="s">
        <v>35</v>
      </c>
      <c r="G198" s="199" t="s">
        <v>35</v>
      </c>
      <c r="H198" s="138" t="s">
        <v>35</v>
      </c>
    </row>
    <row r="199" spans="1:8" ht="12.75">
      <c r="A199" s="197">
        <v>3</v>
      </c>
      <c r="B199">
        <v>5</v>
      </c>
      <c r="C199" s="165">
        <f t="shared" si="13"/>
        <v>37164</v>
      </c>
      <c r="D199" s="167">
        <f>F$26</f>
        <v>0.0158</v>
      </c>
      <c r="E199" s="138">
        <v>1</v>
      </c>
      <c r="F199" s="198">
        <f>PV(D199,B199-B$198,0,-E199)</f>
        <v>0.9844457570387871</v>
      </c>
      <c r="G199" s="199">
        <f>E114</f>
        <v>-2975</v>
      </c>
      <c r="H199" s="138">
        <f>G199*F199</f>
        <v>-2928.7261271903917</v>
      </c>
    </row>
    <row r="200" spans="1:8" ht="12.75">
      <c r="A200" s="197">
        <v>3</v>
      </c>
      <c r="B200">
        <v>6</v>
      </c>
      <c r="C200" s="165">
        <f t="shared" si="13"/>
        <v>37256</v>
      </c>
      <c r="D200" s="167">
        <f>F$26</f>
        <v>0.0158</v>
      </c>
      <c r="E200" s="138">
        <v>1</v>
      </c>
      <c r="F200" s="198">
        <f>PV(D200,B200-B$198,0,-E200)</f>
        <v>0.9691334485516706</v>
      </c>
      <c r="G200" s="199">
        <f>G199</f>
        <v>-2975</v>
      </c>
      <c r="H200" s="138">
        <f>G200*F200</f>
        <v>-2883.17200944122</v>
      </c>
    </row>
    <row r="201" spans="1:8" ht="12.75">
      <c r="A201" s="197">
        <v>3</v>
      </c>
      <c r="B201">
        <v>7</v>
      </c>
      <c r="C201" s="165">
        <f t="shared" si="13"/>
        <v>37346</v>
      </c>
      <c r="D201" s="167">
        <f>F$26</f>
        <v>0.0158</v>
      </c>
      <c r="E201" s="138">
        <v>1</v>
      </c>
      <c r="F201" s="198">
        <f>PV(D201,B201-B$198,0,-E201)</f>
        <v>0.9540593114310598</v>
      </c>
      <c r="G201" s="199">
        <f>G200</f>
        <v>-2975</v>
      </c>
      <c r="H201" s="138">
        <f>G201*F201</f>
        <v>-2838.326451507403</v>
      </c>
    </row>
    <row r="202" spans="1:8" ht="13.5" thickBot="1">
      <c r="A202" s="197">
        <v>3</v>
      </c>
      <c r="B202">
        <v>8</v>
      </c>
      <c r="C202" s="165">
        <f t="shared" si="13"/>
        <v>37437</v>
      </c>
      <c r="D202" s="167">
        <f>F$26</f>
        <v>0.0158</v>
      </c>
      <c r="E202" s="138">
        <v>1</v>
      </c>
      <c r="F202" s="198">
        <f>PV(D202,B202-B$198,0,-E202)</f>
        <v>0.9392196411016537</v>
      </c>
      <c r="G202" s="199">
        <f>G201</f>
        <v>-2975</v>
      </c>
      <c r="H202" s="200">
        <f>G202*F202</f>
        <v>-2794.1784322774197</v>
      </c>
    </row>
    <row r="203" spans="1:8" ht="13.5" thickTop="1">
      <c r="A203" s="197">
        <v>3</v>
      </c>
      <c r="B203" s="165" t="s">
        <v>35</v>
      </c>
      <c r="G203" s="171" t="s">
        <v>273</v>
      </c>
      <c r="H203" s="201">
        <f>SUM(H196:H202)</f>
        <v>-11444.403020416434</v>
      </c>
    </row>
    <row r="204" spans="1:8" ht="13.5" thickBot="1">
      <c r="A204" s="197">
        <v>3</v>
      </c>
      <c r="D204" t="s">
        <v>297</v>
      </c>
      <c r="H204" s="200">
        <f>H205-H203</f>
        <v>88.86660472255426</v>
      </c>
    </row>
    <row r="205" spans="1:9" ht="14.25" thickBot="1" thickTop="1">
      <c r="A205" s="197">
        <v>3</v>
      </c>
      <c r="F205" s="191">
        <f>C198</f>
        <v>37072</v>
      </c>
      <c r="G205" s="171" t="s">
        <v>282</v>
      </c>
      <c r="H205" s="203">
        <f>G114</f>
        <v>-11355.53641569388</v>
      </c>
      <c r="I205" s="36"/>
    </row>
    <row r="206" spans="1:4" ht="13.5" thickTop="1">
      <c r="A206" s="197">
        <v>3</v>
      </c>
      <c r="D206" s="195" t="s">
        <v>294</v>
      </c>
    </row>
    <row r="207" spans="1:4" ht="12.75">
      <c r="A207" s="197">
        <v>3</v>
      </c>
      <c r="D207" s="195" t="s">
        <v>295</v>
      </c>
    </row>
    <row r="208" spans="1:4" ht="12.75">
      <c r="A208" s="197">
        <v>3</v>
      </c>
      <c r="D208" s="195" t="s">
        <v>296</v>
      </c>
    </row>
    <row r="209" ht="12.75">
      <c r="A209" s="197">
        <v>3</v>
      </c>
    </row>
    <row r="210" spans="1:9" ht="12.75">
      <c r="A210" s="197">
        <v>3</v>
      </c>
      <c r="B210" s="37"/>
      <c r="C210" s="37"/>
      <c r="D210" s="37"/>
      <c r="E210" s="37"/>
      <c r="F210" s="37"/>
      <c r="G210" s="37"/>
      <c r="H210" s="37"/>
      <c r="I210" s="37"/>
    </row>
    <row r="211" spans="1:8" ht="12.75">
      <c r="A211" s="197">
        <v>3</v>
      </c>
      <c r="D211" s="1"/>
      <c r="E211" s="1"/>
      <c r="F211" s="4" t="s">
        <v>290</v>
      </c>
      <c r="G211" s="4" t="s">
        <v>111</v>
      </c>
      <c r="H211" s="4" t="s">
        <v>111</v>
      </c>
    </row>
    <row r="212" spans="1:8" ht="12.75">
      <c r="A212" s="197">
        <v>3</v>
      </c>
      <c r="D212" s="4" t="s">
        <v>290</v>
      </c>
      <c r="E212" s="137" t="s">
        <v>291</v>
      </c>
      <c r="F212" s="4" t="s">
        <v>289</v>
      </c>
      <c r="G212" s="4" t="s">
        <v>292</v>
      </c>
      <c r="H212" s="4" t="s">
        <v>43</v>
      </c>
    </row>
    <row r="213" spans="1:8" ht="12.75">
      <c r="A213" s="197">
        <v>3</v>
      </c>
      <c r="B213">
        <v>0</v>
      </c>
      <c r="C213" s="165" t="str">
        <f>C129</f>
        <v>Swap Payment =</v>
      </c>
      <c r="D213" s="24"/>
      <c r="E213" s="138"/>
      <c r="F213" s="24"/>
      <c r="H213" s="4" t="s">
        <v>293</v>
      </c>
    </row>
    <row r="214" spans="1:9" ht="12.75">
      <c r="A214" s="197">
        <v>3</v>
      </c>
      <c r="B214">
        <v>1</v>
      </c>
      <c r="C214" s="165">
        <f>C110</f>
        <v>36708</v>
      </c>
      <c r="H214" s="168">
        <f>C218</f>
        <v>37072</v>
      </c>
      <c r="I214" s="37"/>
    </row>
    <row r="215" spans="1:8" ht="12.75">
      <c r="A215" s="197">
        <v>3</v>
      </c>
      <c r="B215">
        <v>2</v>
      </c>
      <c r="C215" s="165">
        <f aca="true" t="shared" si="14" ref="C215:C221">C111</f>
        <v>36799</v>
      </c>
      <c r="D215" s="167" t="s">
        <v>35</v>
      </c>
      <c r="E215" s="138" t="s">
        <v>35</v>
      </c>
      <c r="F215" s="198" t="s">
        <v>35</v>
      </c>
      <c r="G215" s="199" t="s">
        <v>35</v>
      </c>
      <c r="H215" s="136" t="s">
        <v>35</v>
      </c>
    </row>
    <row r="216" spans="1:8" ht="12.75">
      <c r="A216" s="197">
        <v>3</v>
      </c>
      <c r="B216">
        <v>3</v>
      </c>
      <c r="C216" s="165">
        <f t="shared" si="14"/>
        <v>36891</v>
      </c>
      <c r="D216" s="167" t="s">
        <v>35</v>
      </c>
      <c r="E216" s="138" t="s">
        <v>35</v>
      </c>
      <c r="F216" s="198" t="s">
        <v>35</v>
      </c>
      <c r="G216" s="199" t="s">
        <v>35</v>
      </c>
      <c r="H216" s="138" t="s">
        <v>35</v>
      </c>
    </row>
    <row r="217" spans="1:8" ht="12.75">
      <c r="A217" s="197">
        <v>3</v>
      </c>
      <c r="B217">
        <v>4</v>
      </c>
      <c r="C217" s="165">
        <f t="shared" si="14"/>
        <v>36981</v>
      </c>
      <c r="D217" s="167" t="s">
        <v>35</v>
      </c>
      <c r="E217" s="138" t="s">
        <v>35</v>
      </c>
      <c r="F217" s="198" t="s">
        <v>35</v>
      </c>
      <c r="G217" s="199" t="s">
        <v>35</v>
      </c>
      <c r="H217" s="138" t="s">
        <v>35</v>
      </c>
    </row>
    <row r="218" spans="1:8" ht="12.75">
      <c r="A218" s="197">
        <v>3</v>
      </c>
      <c r="B218">
        <v>5</v>
      </c>
      <c r="C218" s="165">
        <f t="shared" si="14"/>
        <v>37072</v>
      </c>
      <c r="D218" s="167" t="s">
        <v>35</v>
      </c>
      <c r="E218" s="138" t="s">
        <v>35</v>
      </c>
      <c r="F218" s="198" t="s">
        <v>35</v>
      </c>
      <c r="G218" s="199" t="s">
        <v>35</v>
      </c>
      <c r="H218" s="138" t="s">
        <v>35</v>
      </c>
    </row>
    <row r="219" spans="1:8" ht="12.75">
      <c r="A219" s="197">
        <v>3</v>
      </c>
      <c r="B219">
        <v>6</v>
      </c>
      <c r="C219" s="165">
        <f t="shared" si="14"/>
        <v>37164</v>
      </c>
      <c r="D219" s="167">
        <f>F$27</f>
        <v>0.019</v>
      </c>
      <c r="E219" s="138">
        <v>1</v>
      </c>
      <c r="F219" s="198">
        <f>PV(D219,B219-B$218,0,-E219)</f>
        <v>0.9813542688910698</v>
      </c>
      <c r="G219" s="199">
        <f>E115</f>
        <v>-3250</v>
      </c>
      <c r="H219" s="138">
        <f>G219*F219</f>
        <v>-3189.401373895977</v>
      </c>
    </row>
    <row r="220" spans="1:8" ht="12.75">
      <c r="A220" s="197">
        <v>3</v>
      </c>
      <c r="B220">
        <v>7</v>
      </c>
      <c r="C220" s="165">
        <f t="shared" si="14"/>
        <v>37256</v>
      </c>
      <c r="D220" s="167">
        <f>F$27</f>
        <v>0.019</v>
      </c>
      <c r="E220" s="138">
        <v>1</v>
      </c>
      <c r="F220" s="198">
        <f>PV(D220,B220-B$218,0,-E220)</f>
        <v>0.963056201070726</v>
      </c>
      <c r="G220" s="199">
        <f>G219</f>
        <v>-3250</v>
      </c>
      <c r="H220" s="138">
        <f>G220*F220</f>
        <v>-3129.9326534798593</v>
      </c>
    </row>
    <row r="221" spans="1:8" ht="13.5" thickBot="1">
      <c r="A221" s="197">
        <v>3</v>
      </c>
      <c r="B221">
        <v>8</v>
      </c>
      <c r="C221" s="165">
        <f t="shared" si="14"/>
        <v>37346</v>
      </c>
      <c r="D221" s="167">
        <f>F$27</f>
        <v>0.019</v>
      </c>
      <c r="E221" s="138">
        <v>1</v>
      </c>
      <c r="F221" s="198">
        <f>PV(D221,B221-B$218,0,-E221)</f>
        <v>0.9450993141027734</v>
      </c>
      <c r="G221" s="199">
        <f>G220</f>
        <v>-3250</v>
      </c>
      <c r="H221" s="200">
        <f>G221*F221</f>
        <v>-3071.572770834013</v>
      </c>
    </row>
    <row r="222" spans="1:8" ht="13.5" thickTop="1">
      <c r="A222" s="197">
        <v>3</v>
      </c>
      <c r="B222" s="165" t="s">
        <v>35</v>
      </c>
      <c r="G222" s="171" t="s">
        <v>273</v>
      </c>
      <c r="H222" s="201">
        <f>SUM(H215:H221)</f>
        <v>-9390.90679820985</v>
      </c>
    </row>
    <row r="223" spans="1:8" ht="13.5" thickBot="1">
      <c r="A223" s="197">
        <v>3</v>
      </c>
      <c r="D223" t="s">
        <v>297</v>
      </c>
      <c r="H223" s="200">
        <f>H224-H222</f>
        <v>5.034637388955161</v>
      </c>
    </row>
    <row r="224" spans="1:9" ht="14.25" thickBot="1" thickTop="1">
      <c r="A224" s="197">
        <v>3</v>
      </c>
      <c r="F224" s="191">
        <f>C218</f>
        <v>37072</v>
      </c>
      <c r="G224" s="171" t="s">
        <v>282</v>
      </c>
      <c r="H224" s="203">
        <f>G115</f>
        <v>-9385.872160820894</v>
      </c>
      <c r="I224" s="37"/>
    </row>
    <row r="225" spans="1:4" ht="13.5" thickTop="1">
      <c r="A225" s="197">
        <v>3</v>
      </c>
      <c r="D225" s="195" t="s">
        <v>294</v>
      </c>
    </row>
    <row r="226" spans="1:4" ht="12.75">
      <c r="A226" s="197">
        <v>3</v>
      </c>
      <c r="D226" s="195" t="s">
        <v>295</v>
      </c>
    </row>
    <row r="227" spans="1:4" ht="12.75">
      <c r="A227" s="197">
        <v>3</v>
      </c>
      <c r="D227" s="195" t="s">
        <v>296</v>
      </c>
    </row>
    <row r="228" ht="12.75">
      <c r="A228" s="197">
        <v>3</v>
      </c>
    </row>
    <row r="229" spans="1:9" ht="12.75">
      <c r="A229" s="197">
        <v>3</v>
      </c>
      <c r="B229" s="28"/>
      <c r="C229" s="28"/>
      <c r="D229" s="28"/>
      <c r="E229" s="28"/>
      <c r="F229" s="28"/>
      <c r="G229" s="28"/>
      <c r="H229" s="28"/>
      <c r="I229" s="28"/>
    </row>
    <row r="230" spans="1:8" ht="12.75">
      <c r="A230" s="197">
        <v>3</v>
      </c>
      <c r="D230" s="1"/>
      <c r="E230" s="1"/>
      <c r="F230" s="4" t="s">
        <v>290</v>
      </c>
      <c r="G230" s="4" t="s">
        <v>111</v>
      </c>
      <c r="H230" s="4" t="s">
        <v>111</v>
      </c>
    </row>
    <row r="231" spans="1:8" ht="12.75">
      <c r="A231" s="197">
        <v>3</v>
      </c>
      <c r="D231" s="4" t="s">
        <v>290</v>
      </c>
      <c r="E231" s="137" t="s">
        <v>291</v>
      </c>
      <c r="F231" s="4" t="s">
        <v>289</v>
      </c>
      <c r="G231" s="4" t="s">
        <v>292</v>
      </c>
      <c r="H231" s="4" t="s">
        <v>43</v>
      </c>
    </row>
    <row r="232" spans="1:8" ht="12.75">
      <c r="A232" s="197">
        <v>3</v>
      </c>
      <c r="B232">
        <v>0</v>
      </c>
      <c r="C232" s="165">
        <f>C148</f>
        <v>0</v>
      </c>
      <c r="D232" s="24"/>
      <c r="E232" s="138"/>
      <c r="F232" s="24"/>
      <c r="H232" s="4" t="s">
        <v>293</v>
      </c>
    </row>
    <row r="233" spans="1:9" ht="12.75">
      <c r="A233" s="197">
        <v>3</v>
      </c>
      <c r="B233">
        <v>1</v>
      </c>
      <c r="C233" s="165" t="str">
        <f>C129</f>
        <v>Swap Payment =</v>
      </c>
      <c r="H233" s="168">
        <f>C238</f>
        <v>37072</v>
      </c>
      <c r="I233" s="28"/>
    </row>
    <row r="234" spans="1:8" ht="12.75">
      <c r="A234" s="197">
        <v>3</v>
      </c>
      <c r="B234">
        <v>2</v>
      </c>
      <c r="C234" s="165">
        <f>C110</f>
        <v>36708</v>
      </c>
      <c r="D234" s="167" t="s">
        <v>35</v>
      </c>
      <c r="E234" s="138" t="s">
        <v>35</v>
      </c>
      <c r="F234" s="198" t="s">
        <v>35</v>
      </c>
      <c r="G234" s="199" t="s">
        <v>35</v>
      </c>
      <c r="H234" s="136" t="s">
        <v>35</v>
      </c>
    </row>
    <row r="235" spans="1:8" ht="12.75">
      <c r="A235" s="197">
        <v>3</v>
      </c>
      <c r="B235">
        <v>3</v>
      </c>
      <c r="C235" s="165">
        <f aca="true" t="shared" si="15" ref="C235:C240">C111</f>
        <v>36799</v>
      </c>
      <c r="D235" s="167" t="s">
        <v>35</v>
      </c>
      <c r="E235" s="138" t="s">
        <v>35</v>
      </c>
      <c r="F235" s="198" t="s">
        <v>35</v>
      </c>
      <c r="G235" s="199" t="s">
        <v>35</v>
      </c>
      <c r="H235" s="138" t="s">
        <v>35</v>
      </c>
    </row>
    <row r="236" spans="1:8" ht="12.75">
      <c r="A236" s="197">
        <v>3</v>
      </c>
      <c r="B236">
        <v>4</v>
      </c>
      <c r="C236" s="165">
        <f t="shared" si="15"/>
        <v>36891</v>
      </c>
      <c r="D236" s="167" t="s">
        <v>35</v>
      </c>
      <c r="E236" s="138" t="s">
        <v>35</v>
      </c>
      <c r="F236" s="198" t="s">
        <v>35</v>
      </c>
      <c r="G236" s="199" t="s">
        <v>35</v>
      </c>
      <c r="H236" s="138" t="s">
        <v>35</v>
      </c>
    </row>
    <row r="237" spans="1:8" ht="12.75">
      <c r="A237" s="197">
        <v>3</v>
      </c>
      <c r="B237">
        <v>5</v>
      </c>
      <c r="C237" s="165">
        <f t="shared" si="15"/>
        <v>36981</v>
      </c>
      <c r="D237" s="167" t="s">
        <v>35</v>
      </c>
      <c r="E237" s="138" t="s">
        <v>35</v>
      </c>
      <c r="F237" s="198" t="s">
        <v>35</v>
      </c>
      <c r="G237" s="199" t="s">
        <v>35</v>
      </c>
      <c r="H237" s="138" t="s">
        <v>35</v>
      </c>
    </row>
    <row r="238" spans="1:8" ht="12.75">
      <c r="A238" s="197">
        <v>3</v>
      </c>
      <c r="B238">
        <v>6</v>
      </c>
      <c r="C238" s="165">
        <f t="shared" si="15"/>
        <v>37072</v>
      </c>
      <c r="D238" s="167" t="s">
        <v>35</v>
      </c>
      <c r="E238" s="138" t="s">
        <v>35</v>
      </c>
      <c r="F238" s="198" t="s">
        <v>35</v>
      </c>
      <c r="G238" s="199" t="s">
        <v>35</v>
      </c>
      <c r="H238" s="138" t="s">
        <v>35</v>
      </c>
    </row>
    <row r="239" spans="1:8" ht="12.75">
      <c r="A239" s="197">
        <v>3</v>
      </c>
      <c r="B239">
        <v>7</v>
      </c>
      <c r="C239" s="165">
        <f t="shared" si="15"/>
        <v>37164</v>
      </c>
      <c r="D239" s="167">
        <f>F$28</f>
        <v>0.019275</v>
      </c>
      <c r="E239" s="138">
        <v>1</v>
      </c>
      <c r="F239" s="198">
        <f>PV(D239,B239-B$238,0,-E239)</f>
        <v>0.9810894998896275</v>
      </c>
      <c r="G239" s="199">
        <f>E116</f>
        <v>-3525</v>
      </c>
      <c r="H239" s="138">
        <f>G239*F239</f>
        <v>-3458.340487110937</v>
      </c>
    </row>
    <row r="240" spans="1:8" ht="13.5" thickBot="1">
      <c r="A240" s="197">
        <v>3</v>
      </c>
      <c r="B240">
        <v>8</v>
      </c>
      <c r="C240" s="165">
        <f t="shared" si="15"/>
        <v>37256</v>
      </c>
      <c r="D240" s="167">
        <f>F$28</f>
        <v>0.019275</v>
      </c>
      <c r="E240" s="138">
        <v>1</v>
      </c>
      <c r="F240" s="198">
        <f>PV(D240,B240-B$238,0,-E240)</f>
        <v>0.9625366067936794</v>
      </c>
      <c r="G240" s="199">
        <f>G239</f>
        <v>-3525</v>
      </c>
      <c r="H240" s="200">
        <f>G240*F240</f>
        <v>-3392.94153894772</v>
      </c>
    </row>
    <row r="241" spans="1:8" ht="13.5" thickTop="1">
      <c r="A241" s="197">
        <v>3</v>
      </c>
      <c r="B241" s="165" t="s">
        <v>35</v>
      </c>
      <c r="G241" s="171" t="s">
        <v>273</v>
      </c>
      <c r="H241" s="201">
        <f>SUM(H234:H240)</f>
        <v>-6851.282026058657</v>
      </c>
    </row>
    <row r="242" spans="1:8" ht="13.5" thickBot="1">
      <c r="A242" s="197">
        <v>3</v>
      </c>
      <c r="D242" t="s">
        <v>297</v>
      </c>
      <c r="H242" s="200">
        <f>H243-H241</f>
        <v>2.7628952080422096</v>
      </c>
    </row>
    <row r="243" spans="1:9" ht="14.25" thickBot="1" thickTop="1">
      <c r="A243" s="197">
        <v>3</v>
      </c>
      <c r="F243" s="191">
        <f>C238</f>
        <v>37072</v>
      </c>
      <c r="G243" s="171" t="s">
        <v>282</v>
      </c>
      <c r="H243" s="203">
        <f>G116</f>
        <v>-6848.519130850615</v>
      </c>
      <c r="I243" s="28"/>
    </row>
    <row r="244" spans="1:4" ht="13.5" thickTop="1">
      <c r="A244" s="197">
        <v>3</v>
      </c>
      <c r="D244" s="195" t="s">
        <v>294</v>
      </c>
    </row>
    <row r="245" spans="1:4" ht="12.75">
      <c r="A245" s="197">
        <v>3</v>
      </c>
      <c r="D245" s="195" t="s">
        <v>295</v>
      </c>
    </row>
    <row r="246" spans="1:4" ht="12.75">
      <c r="A246" s="197">
        <v>3</v>
      </c>
      <c r="D246" s="195" t="s">
        <v>296</v>
      </c>
    </row>
    <row r="247" ht="12.75">
      <c r="A247" s="197">
        <v>3</v>
      </c>
    </row>
    <row r="248" spans="1:9" ht="12.75">
      <c r="A248" s="197">
        <v>3</v>
      </c>
      <c r="B248" s="38"/>
      <c r="C248" s="38"/>
      <c r="D248" s="38"/>
      <c r="E248" s="38"/>
      <c r="F248" s="38"/>
      <c r="G248" s="38"/>
      <c r="H248" s="38"/>
      <c r="I248" s="38"/>
    </row>
    <row r="249" spans="1:8" ht="12.75">
      <c r="A249" s="197">
        <v>3</v>
      </c>
      <c r="D249" s="1"/>
      <c r="E249" s="1"/>
      <c r="F249" s="4" t="s">
        <v>290</v>
      </c>
      <c r="G249" s="4" t="s">
        <v>111</v>
      </c>
      <c r="H249" s="4" t="s">
        <v>111</v>
      </c>
    </row>
    <row r="250" spans="1:8" ht="12.75">
      <c r="A250" s="197">
        <v>3</v>
      </c>
      <c r="D250" s="4" t="s">
        <v>290</v>
      </c>
      <c r="E250" s="137" t="s">
        <v>291</v>
      </c>
      <c r="F250" s="4" t="s">
        <v>289</v>
      </c>
      <c r="G250" s="4" t="s">
        <v>292</v>
      </c>
      <c r="H250" s="4" t="s">
        <v>43</v>
      </c>
    </row>
    <row r="251" spans="1:8" ht="12.75">
      <c r="A251" s="197">
        <v>3</v>
      </c>
      <c r="B251">
        <v>0</v>
      </c>
      <c r="C251" s="165">
        <f>C110</f>
        <v>36708</v>
      </c>
      <c r="D251" s="24"/>
      <c r="E251" s="138"/>
      <c r="F251" s="24"/>
      <c r="H251" s="4" t="s">
        <v>293</v>
      </c>
    </row>
    <row r="252" spans="1:9" ht="12.75">
      <c r="A252" s="197">
        <v>3</v>
      </c>
      <c r="B252">
        <v>1</v>
      </c>
      <c r="C252" s="165">
        <f aca="true" t="shared" si="16" ref="C252:C259">C111</f>
        <v>36799</v>
      </c>
      <c r="H252" s="168">
        <f>C258</f>
        <v>37346</v>
      </c>
      <c r="I252" s="38"/>
    </row>
    <row r="253" spans="1:8" ht="12.75">
      <c r="A253" s="197">
        <v>3</v>
      </c>
      <c r="B253">
        <v>2</v>
      </c>
      <c r="C253" s="165">
        <f t="shared" si="16"/>
        <v>36891</v>
      </c>
      <c r="D253" s="167" t="s">
        <v>35</v>
      </c>
      <c r="E253" s="138" t="s">
        <v>35</v>
      </c>
      <c r="F253" s="198" t="s">
        <v>35</v>
      </c>
      <c r="G253" s="199" t="s">
        <v>35</v>
      </c>
      <c r="H253" s="136" t="s">
        <v>35</v>
      </c>
    </row>
    <row r="254" spans="1:8" ht="12.75">
      <c r="A254" s="197">
        <v>3</v>
      </c>
      <c r="B254">
        <v>3</v>
      </c>
      <c r="C254" s="165">
        <f t="shared" si="16"/>
        <v>36981</v>
      </c>
      <c r="D254" s="167" t="s">
        <v>35</v>
      </c>
      <c r="E254" s="138" t="s">
        <v>35</v>
      </c>
      <c r="F254" s="198" t="s">
        <v>35</v>
      </c>
      <c r="G254" s="199" t="s">
        <v>35</v>
      </c>
      <c r="H254" s="138" t="s">
        <v>35</v>
      </c>
    </row>
    <row r="255" spans="1:8" ht="12.75">
      <c r="A255" s="197">
        <v>3</v>
      </c>
      <c r="B255">
        <v>4</v>
      </c>
      <c r="C255" s="165">
        <f t="shared" si="16"/>
        <v>37072</v>
      </c>
      <c r="D255" s="167" t="s">
        <v>35</v>
      </c>
      <c r="E255" s="138" t="s">
        <v>35</v>
      </c>
      <c r="F255" s="198" t="s">
        <v>35</v>
      </c>
      <c r="G255" s="199" t="s">
        <v>35</v>
      </c>
      <c r="H255" s="138" t="s">
        <v>35</v>
      </c>
    </row>
    <row r="256" spans="1:8" ht="12.75">
      <c r="A256" s="197">
        <v>3</v>
      </c>
      <c r="B256">
        <v>5</v>
      </c>
      <c r="C256" s="165">
        <f t="shared" si="16"/>
        <v>37164</v>
      </c>
      <c r="D256" s="167" t="s">
        <v>35</v>
      </c>
      <c r="E256" s="138" t="s">
        <v>35</v>
      </c>
      <c r="F256" s="198" t="s">
        <v>35</v>
      </c>
      <c r="G256" s="199" t="s">
        <v>35</v>
      </c>
      <c r="H256" s="138" t="s">
        <v>35</v>
      </c>
    </row>
    <row r="257" spans="1:8" ht="12.75">
      <c r="A257" s="197">
        <v>3</v>
      </c>
      <c r="B257">
        <v>6</v>
      </c>
      <c r="C257" s="165">
        <f t="shared" si="16"/>
        <v>37256</v>
      </c>
      <c r="D257" s="167" t="s">
        <v>35</v>
      </c>
      <c r="E257" s="138" t="s">
        <v>35</v>
      </c>
      <c r="F257" s="198" t="s">
        <v>35</v>
      </c>
      <c r="G257" s="199" t="s">
        <v>35</v>
      </c>
      <c r="H257" s="138" t="s">
        <v>35</v>
      </c>
    </row>
    <row r="258" spans="1:8" ht="12.75">
      <c r="A258" s="197">
        <v>3</v>
      </c>
      <c r="B258">
        <v>7</v>
      </c>
      <c r="C258" s="165">
        <f t="shared" si="16"/>
        <v>37346</v>
      </c>
      <c r="D258" s="167" t="s">
        <v>35</v>
      </c>
      <c r="E258" s="138" t="s">
        <v>35</v>
      </c>
      <c r="F258" s="198" t="s">
        <v>35</v>
      </c>
      <c r="G258" s="199" t="s">
        <v>35</v>
      </c>
      <c r="H258" s="138" t="s">
        <v>35</v>
      </c>
    </row>
    <row r="259" spans="1:8" ht="13.5" thickBot="1">
      <c r="A259" s="197">
        <v>3</v>
      </c>
      <c r="B259">
        <v>8</v>
      </c>
      <c r="C259" s="165">
        <f t="shared" si="16"/>
        <v>37437</v>
      </c>
      <c r="D259" s="167">
        <f>F$29</f>
        <v>0.01955</v>
      </c>
      <c r="E259" s="138">
        <v>1</v>
      </c>
      <c r="F259" s="198">
        <f>PV(D259,B259-B$258,0,-E259)</f>
        <v>0.9808248737187976</v>
      </c>
      <c r="G259" s="199">
        <f>E117</f>
        <v>-2525</v>
      </c>
      <c r="H259" s="200">
        <f>G259*F259</f>
        <v>-2476.582806139964</v>
      </c>
    </row>
    <row r="260" spans="1:8" ht="13.5" thickTop="1">
      <c r="A260" s="197">
        <v>3</v>
      </c>
      <c r="B260" s="165" t="s">
        <v>35</v>
      </c>
      <c r="G260" s="171" t="s">
        <v>273</v>
      </c>
      <c r="H260" s="201">
        <f>SUM(H253:H259)</f>
        <v>-2476.582806139964</v>
      </c>
    </row>
    <row r="261" spans="1:8" ht="13.5" thickBot="1">
      <c r="A261" s="197">
        <v>3</v>
      </c>
      <c r="D261" t="s">
        <v>297</v>
      </c>
      <c r="H261" s="200">
        <f>H262-H260</f>
        <v>-2.431478873053038</v>
      </c>
    </row>
    <row r="262" spans="1:9" ht="14.25" thickBot="1" thickTop="1">
      <c r="A262" s="197">
        <v>3</v>
      </c>
      <c r="F262" s="191">
        <f>C258</f>
        <v>37346</v>
      </c>
      <c r="G262" s="171" t="s">
        <v>282</v>
      </c>
      <c r="H262" s="203">
        <f>G117</f>
        <v>-2479.014285013017</v>
      </c>
      <c r="I262" s="38"/>
    </row>
    <row r="263" spans="1:4" ht="13.5" thickTop="1">
      <c r="A263" s="197">
        <v>3</v>
      </c>
      <c r="D263" s="195" t="s">
        <v>294</v>
      </c>
    </row>
    <row r="264" spans="1:4" ht="12.75">
      <c r="A264" s="197">
        <v>3</v>
      </c>
      <c r="D264" s="195" t="s">
        <v>295</v>
      </c>
    </row>
    <row r="265" spans="1:4" ht="12.75">
      <c r="A265" s="197">
        <v>3</v>
      </c>
      <c r="D265" s="195" t="s">
        <v>296</v>
      </c>
    </row>
    <row r="328" spans="2:14" ht="12.75">
      <c r="B328" s="43"/>
      <c r="H328" s="1"/>
      <c r="I328" s="1"/>
      <c r="J328" s="40"/>
      <c r="L328" s="1"/>
      <c r="M328" s="1"/>
      <c r="N328" s="40"/>
    </row>
    <row r="329" spans="2:14" ht="12.75">
      <c r="B329" s="24"/>
      <c r="C329" s="24"/>
      <c r="D329" s="24"/>
      <c r="E329" s="24"/>
      <c r="H329" s="1"/>
      <c r="I329" s="1"/>
      <c r="J329" s="40"/>
      <c r="L329" s="1"/>
      <c r="M329" s="1"/>
      <c r="N329" s="40"/>
    </row>
    <row r="330" spans="2:14" ht="12.75">
      <c r="B330" s="24"/>
      <c r="C330" s="24"/>
      <c r="D330" s="24"/>
      <c r="E330" s="24"/>
      <c r="H330" s="1"/>
      <c r="I330" s="1"/>
      <c r="J330" s="40"/>
      <c r="L330" s="1"/>
      <c r="M330" s="1"/>
      <c r="N330" s="40"/>
    </row>
    <row r="331" spans="2:14" ht="12.75">
      <c r="B331" s="24"/>
      <c r="C331" s="24"/>
      <c r="D331" s="24"/>
      <c r="E331" s="24"/>
      <c r="H331" s="1"/>
      <c r="I331" s="1"/>
      <c r="J331" s="40"/>
      <c r="L331" s="1"/>
      <c r="M331" s="1"/>
      <c r="N331" s="40"/>
    </row>
    <row r="332" spans="2:14" ht="12.75">
      <c r="B332" s="24"/>
      <c r="C332" s="24"/>
      <c r="D332" s="24"/>
      <c r="E332" s="24"/>
      <c r="H332" s="1"/>
      <c r="I332" s="1"/>
      <c r="J332" s="40"/>
      <c r="L332" s="1"/>
      <c r="M332" s="1"/>
      <c r="N332" s="40"/>
    </row>
    <row r="333" spans="2:14" ht="12.75">
      <c r="B333" s="24"/>
      <c r="C333" s="24"/>
      <c r="D333" s="24"/>
      <c r="E333" s="24"/>
      <c r="H333" s="1"/>
      <c r="I333" s="1"/>
      <c r="J333" s="40"/>
      <c r="L333" s="1"/>
      <c r="M333" s="1"/>
      <c r="N333" s="40"/>
    </row>
    <row r="334" spans="2:14" ht="12.75">
      <c r="B334" s="24"/>
      <c r="C334" s="24"/>
      <c r="D334" s="24"/>
      <c r="E334" s="24"/>
      <c r="H334" s="1"/>
      <c r="I334" s="1"/>
      <c r="J334" s="40"/>
      <c r="L334" s="1"/>
      <c r="M334" s="1"/>
      <c r="N334" s="40"/>
    </row>
    <row r="335" spans="2:14" ht="12.75">
      <c r="B335" s="24"/>
      <c r="C335" s="24"/>
      <c r="D335" s="24"/>
      <c r="E335" s="24"/>
      <c r="H335" s="1"/>
      <c r="I335" s="1"/>
      <c r="J335" s="40"/>
      <c r="L335" s="1"/>
      <c r="M335" s="1"/>
      <c r="N335" s="40"/>
    </row>
    <row r="336" spans="2:14" ht="12.75">
      <c r="B336" s="24"/>
      <c r="C336" s="24"/>
      <c r="D336" s="24"/>
      <c r="E336" s="24"/>
      <c r="H336" s="1"/>
      <c r="I336" s="1"/>
      <c r="J336" s="40"/>
      <c r="L336" s="1"/>
      <c r="M336" s="1"/>
      <c r="N336" s="40"/>
    </row>
    <row r="337" spans="8:14" ht="12.75">
      <c r="H337" s="1"/>
      <c r="I337" s="1"/>
      <c r="J337" s="40"/>
      <c r="L337" s="1"/>
      <c r="M337" s="1"/>
      <c r="N337" s="40"/>
    </row>
  </sheetData>
  <printOptions/>
  <pageMargins left="0.75" right="0.75" top="1" bottom="1" header="0.5" footer="0.5"/>
  <pageSetup horizontalDpi="300" verticalDpi="300" orientation="portrait" r:id="rId3"/>
  <legacyDrawing r:id="rId2"/>
  <oleObjects>
    <oleObject progId="Word.Document.8" shapeId="776077" r:id="rId1"/>
  </oleObjects>
</worksheet>
</file>

<file path=xl/worksheets/sheet5.xml><?xml version="1.0" encoding="utf-8"?>
<worksheet xmlns="http://schemas.openxmlformats.org/spreadsheetml/2006/main" xmlns:r="http://schemas.openxmlformats.org/officeDocument/2006/relationships">
  <sheetPr codeName="Sheet5"/>
  <dimension ref="A1:H63"/>
  <sheetViews>
    <sheetView tabSelected="1" workbookViewId="0" topLeftCell="B50">
      <selection activeCell="I59" sqref="I59"/>
    </sheetView>
  </sheetViews>
  <sheetFormatPr defaultColWidth="9.140625" defaultRowHeight="12.75"/>
  <cols>
    <col min="1" max="1" width="20.7109375" style="142" customWidth="1"/>
    <col min="2" max="6" width="10.7109375" style="142" customWidth="1"/>
    <col min="7" max="7" width="9.140625" style="151" customWidth="1"/>
    <col min="8" max="8" width="11.00390625" style="142" customWidth="1"/>
    <col min="9" max="16384" width="9.140625" style="142" customWidth="1"/>
  </cols>
  <sheetData>
    <row r="1" spans="1:6" ht="12.75">
      <c r="A1" s="141" t="s">
        <v>197</v>
      </c>
      <c r="B1" s="141"/>
      <c r="C1" s="141"/>
      <c r="D1" s="141"/>
      <c r="E1" s="141"/>
      <c r="F1" s="141"/>
    </row>
    <row r="2" spans="1:6" ht="12.75">
      <c r="A2" s="141"/>
      <c r="B2" s="141"/>
      <c r="C2" s="141"/>
      <c r="D2" s="141"/>
      <c r="E2" s="141"/>
      <c r="F2" s="141"/>
    </row>
    <row r="3" spans="1:6" ht="12.75">
      <c r="A3" s="141"/>
      <c r="B3" s="141"/>
      <c r="C3" s="141"/>
      <c r="D3" s="141"/>
      <c r="E3" s="141"/>
      <c r="F3" s="141"/>
    </row>
    <row r="4" spans="1:6" ht="12.75">
      <c r="A4" s="141"/>
      <c r="B4" s="141"/>
      <c r="C4" s="141"/>
      <c r="D4" s="141"/>
      <c r="E4" s="141"/>
      <c r="F4" s="141"/>
    </row>
    <row r="5" spans="1:6" ht="12.75">
      <c r="A5" s="141"/>
      <c r="B5" s="141"/>
      <c r="C5" s="141"/>
      <c r="D5" s="141"/>
      <c r="E5" s="141"/>
      <c r="F5" s="141"/>
    </row>
    <row r="6" spans="1:6" ht="12.75">
      <c r="A6" s="141"/>
      <c r="B6" s="141"/>
      <c r="C6" s="141"/>
      <c r="D6" s="141"/>
      <c r="E6" s="141"/>
      <c r="F6" s="141"/>
    </row>
    <row r="7" spans="1:6" ht="12.75">
      <c r="A7" s="141"/>
      <c r="B7" s="141"/>
      <c r="C7" s="141"/>
      <c r="D7" s="141"/>
      <c r="E7" s="141"/>
      <c r="F7" s="141"/>
    </row>
    <row r="8" spans="1:6" ht="12.75">
      <c r="A8" s="141"/>
      <c r="B8" s="141"/>
      <c r="C8" s="141"/>
      <c r="D8" s="141"/>
      <c r="E8" s="141"/>
      <c r="F8" s="141"/>
    </row>
    <row r="9" spans="1:6" ht="12.75">
      <c r="A9" s="141"/>
      <c r="B9" s="141"/>
      <c r="C9" s="141"/>
      <c r="D9" s="141"/>
      <c r="E9" s="141"/>
      <c r="F9" s="141"/>
    </row>
    <row r="10" spans="1:6" ht="12.75">
      <c r="A10" s="141"/>
      <c r="B10" s="141"/>
      <c r="C10" s="141"/>
      <c r="D10" s="141"/>
      <c r="E10" s="141"/>
      <c r="F10" s="141"/>
    </row>
    <row r="11" spans="1:6" ht="12.75">
      <c r="A11" s="141"/>
      <c r="B11" s="141"/>
      <c r="C11" s="141"/>
      <c r="D11" s="141"/>
      <c r="E11" s="141"/>
      <c r="F11" s="141"/>
    </row>
    <row r="12" spans="1:6" ht="12.75">
      <c r="A12" s="141"/>
      <c r="B12" s="141"/>
      <c r="C12" s="141"/>
      <c r="D12" s="141"/>
      <c r="E12" s="141"/>
      <c r="F12" s="141"/>
    </row>
    <row r="13" spans="1:8" ht="12.75">
      <c r="A13" s="143"/>
      <c r="B13" s="144" t="s">
        <v>178</v>
      </c>
      <c r="C13" s="144" t="s">
        <v>180</v>
      </c>
      <c r="D13" s="144" t="s">
        <v>181</v>
      </c>
      <c r="E13" s="141"/>
      <c r="F13" s="144" t="s">
        <v>183</v>
      </c>
      <c r="H13" s="144" t="s">
        <v>189</v>
      </c>
    </row>
    <row r="14" spans="1:8" ht="12.75">
      <c r="A14" s="145"/>
      <c r="B14" s="146" t="s">
        <v>179</v>
      </c>
      <c r="C14" s="146" t="s">
        <v>112</v>
      </c>
      <c r="D14" s="146" t="s">
        <v>43</v>
      </c>
      <c r="E14" s="146" t="s">
        <v>182</v>
      </c>
      <c r="F14" s="146" t="s">
        <v>84</v>
      </c>
      <c r="G14" s="144" t="s">
        <v>198</v>
      </c>
      <c r="H14" s="144" t="s">
        <v>190</v>
      </c>
    </row>
    <row r="15" spans="1:8" ht="12.75">
      <c r="A15" s="147" t="s">
        <v>196</v>
      </c>
      <c r="B15" s="148">
        <v>0.0641</v>
      </c>
      <c r="C15" s="149">
        <v>-1000000</v>
      </c>
      <c r="D15" s="159">
        <v>0</v>
      </c>
      <c r="E15" s="159">
        <v>0</v>
      </c>
      <c r="F15" s="159">
        <v>0</v>
      </c>
      <c r="G15" s="151">
        <v>0</v>
      </c>
      <c r="H15" s="151">
        <v>8</v>
      </c>
    </row>
    <row r="16" spans="1:8" ht="12.75">
      <c r="A16" s="151"/>
      <c r="B16" s="148"/>
      <c r="C16" s="149"/>
      <c r="D16" s="150"/>
      <c r="H16" s="151"/>
    </row>
    <row r="17" spans="1:8" ht="12.75">
      <c r="A17" s="142" t="s">
        <v>184</v>
      </c>
      <c r="C17" s="152">
        <f>+B$15/4*C$15</f>
        <v>-16025.000000000002</v>
      </c>
      <c r="D17" s="152">
        <f>+B15/4*D15</f>
        <v>0</v>
      </c>
      <c r="E17" s="153">
        <f>+D17+C17</f>
        <v>-16025.000000000002</v>
      </c>
      <c r="H17" s="151"/>
    </row>
    <row r="18" spans="1:8" ht="12.75">
      <c r="A18" s="142" t="s">
        <v>185</v>
      </c>
      <c r="B18" s="158"/>
      <c r="C18" s="153">
        <f>-C17</f>
        <v>16025.000000000002</v>
      </c>
      <c r="D18" s="154">
        <v>0</v>
      </c>
      <c r="E18" s="154">
        <v>0</v>
      </c>
      <c r="F18" s="153">
        <f>+D18+C18</f>
        <v>16025.000000000002</v>
      </c>
      <c r="H18" s="151"/>
    </row>
    <row r="19" spans="1:8" ht="15">
      <c r="A19" s="142" t="s">
        <v>186</v>
      </c>
      <c r="C19" s="155">
        <f>+C20-C$15</f>
        <v>1149.32701772789</v>
      </c>
      <c r="D19" s="155">
        <f>-C19</f>
        <v>-1149.32701772789</v>
      </c>
      <c r="E19" s="155">
        <v>0</v>
      </c>
      <c r="F19" s="155">
        <v>0</v>
      </c>
      <c r="H19" s="151"/>
    </row>
    <row r="20" spans="1:8" ht="12.75">
      <c r="A20" s="147" t="s">
        <v>187</v>
      </c>
      <c r="B20" s="148">
        <v>0.0648</v>
      </c>
      <c r="C20" s="149">
        <f>-(PV(B20/4,H20,C17)-C$15/(1+B20/4)^H20)</f>
        <v>-998850.6729822721</v>
      </c>
      <c r="D20" s="149">
        <f>SUM(D17:D19)</f>
        <v>-1149.32701772789</v>
      </c>
      <c r="E20" s="149">
        <f>SUM(E16:E19)</f>
        <v>-16025.000000000002</v>
      </c>
      <c r="F20" s="149">
        <f>SUM(F17:F19)</f>
        <v>16025.000000000002</v>
      </c>
      <c r="G20" s="151">
        <v>1</v>
      </c>
      <c r="H20" s="151">
        <f>+H15-1</f>
        <v>7</v>
      </c>
    </row>
    <row r="21" spans="2:8" ht="12.75">
      <c r="B21" s="153"/>
      <c r="H21" s="151"/>
    </row>
    <row r="22" spans="1:8" ht="12.75">
      <c r="A22" s="142" t="s">
        <v>184</v>
      </c>
      <c r="B22" s="153"/>
      <c r="C22" s="152">
        <f>+B$15/4*C$15</f>
        <v>-16025.000000000002</v>
      </c>
      <c r="D22" s="152">
        <f>+B20/4*D20</f>
        <v>-18.619097687191818</v>
      </c>
      <c r="E22" s="153">
        <f>+D22+C22</f>
        <v>-16043.619097687193</v>
      </c>
      <c r="G22" s="160"/>
      <c r="H22" s="151"/>
    </row>
    <row r="23" spans="1:8" ht="12.75">
      <c r="A23" s="142" t="s">
        <v>185</v>
      </c>
      <c r="C23" s="153">
        <f>-C22</f>
        <v>16025.000000000002</v>
      </c>
      <c r="D23" s="153">
        <f>+(B20-B$15)/4*-C$15</f>
        <v>174.99999999999807</v>
      </c>
      <c r="F23" s="153">
        <f>+D23+C23</f>
        <v>16200</v>
      </c>
      <c r="G23" s="161"/>
      <c r="H23" s="151"/>
    </row>
    <row r="24" spans="1:8" ht="12.75">
      <c r="A24" s="142" t="s">
        <v>191</v>
      </c>
      <c r="C24" s="152">
        <f>PMT(B20/4,H20,0,C19,0)</f>
        <v>-156.38090231280836</v>
      </c>
      <c r="D24" s="162">
        <v>0</v>
      </c>
      <c r="E24" s="153">
        <f>+C24</f>
        <v>-156.38090231280836</v>
      </c>
      <c r="G24" s="163"/>
      <c r="H24" s="163"/>
    </row>
    <row r="25" spans="1:8" ht="15">
      <c r="A25" s="142" t="s">
        <v>186</v>
      </c>
      <c r="C25" s="156">
        <f>+C26-C20-C24</f>
        <v>-992.9461154150817</v>
      </c>
      <c r="D25" s="155">
        <f>-C25</f>
        <v>992.9461154150817</v>
      </c>
      <c r="E25" s="157">
        <v>0</v>
      </c>
      <c r="F25" s="157">
        <v>0</v>
      </c>
      <c r="H25" s="151"/>
    </row>
    <row r="26" spans="1:8" ht="12.75">
      <c r="A26" s="147" t="s">
        <v>188</v>
      </c>
      <c r="B26" s="148">
        <v>0.0641</v>
      </c>
      <c r="C26" s="149">
        <f>-(PV(B26/4,H26,C22)-C$15/(1+B26/4)^H26)</f>
        <v>-1000000</v>
      </c>
      <c r="D26" s="149">
        <f>SUM(D22:D25)+D20</f>
        <v>-2.0463630789890885E-12</v>
      </c>
      <c r="E26" s="149">
        <f>SUM(E22:E25)</f>
        <v>-16200.000000000002</v>
      </c>
      <c r="F26" s="149">
        <f>SUM(F23:F25)</f>
        <v>16200</v>
      </c>
      <c r="G26" s="151">
        <v>2</v>
      </c>
      <c r="H26" s="151">
        <f>+H20-1</f>
        <v>6</v>
      </c>
    </row>
    <row r="27" spans="2:4" ht="12.75">
      <c r="B27" s="153"/>
      <c r="C27" s="153"/>
      <c r="D27" s="158"/>
    </row>
    <row r="28" spans="1:7" ht="12.75">
      <c r="A28" s="142" t="s">
        <v>184</v>
      </c>
      <c r="C28" s="152">
        <f>+B$15/4*C$15</f>
        <v>-16025.000000000002</v>
      </c>
      <c r="D28" s="152">
        <f>+B26/4*D26</f>
        <v>-3.279296834080015E-14</v>
      </c>
      <c r="E28" s="153">
        <f>+D28+C28</f>
        <v>-16025.000000000002</v>
      </c>
      <c r="G28" s="160"/>
    </row>
    <row r="29" spans="1:7" ht="12.75">
      <c r="A29" s="142" t="s">
        <v>185</v>
      </c>
      <c r="C29" s="153">
        <f>-C28</f>
        <v>16025.000000000002</v>
      </c>
      <c r="D29" s="153">
        <f>+(B26-B$15)/4*-C$15</f>
        <v>0</v>
      </c>
      <c r="F29" s="153">
        <f>+D29+C29</f>
        <v>16025.000000000002</v>
      </c>
      <c r="G29" s="161"/>
    </row>
    <row r="30" spans="1:5" ht="12.75">
      <c r="A30" s="142" t="s">
        <v>191</v>
      </c>
      <c r="C30" s="152">
        <v>0</v>
      </c>
      <c r="D30" s="152">
        <v>0</v>
      </c>
      <c r="E30" s="153">
        <f>+C30</f>
        <v>0</v>
      </c>
    </row>
    <row r="31" spans="1:6" ht="15">
      <c r="A31" s="142" t="s">
        <v>186</v>
      </c>
      <c r="C31" s="156">
        <f>+C32-C26-C30</f>
        <v>-1073.5805134649854</v>
      </c>
      <c r="D31" s="155">
        <f>-C31</f>
        <v>1073.5805134649854</v>
      </c>
      <c r="E31" s="157">
        <v>0</v>
      </c>
      <c r="F31" s="157">
        <v>0</v>
      </c>
    </row>
    <row r="32" spans="1:8" ht="12.75">
      <c r="A32" s="147" t="s">
        <v>192</v>
      </c>
      <c r="B32" s="148">
        <v>0.0632</v>
      </c>
      <c r="C32" s="149">
        <f>-(PV(B32/4,H32,C28)-C$15/(1+B32/4)^H32)</f>
        <v>-1001073.580513465</v>
      </c>
      <c r="D32" s="149">
        <f>SUM(D28:D31)+D26</f>
        <v>1073.5805134649834</v>
      </c>
      <c r="E32" s="149">
        <f>SUM(E28:E31)</f>
        <v>-16025.000000000002</v>
      </c>
      <c r="F32" s="149">
        <f>SUM(F29:F31)</f>
        <v>16025.000000000002</v>
      </c>
      <c r="G32" s="151">
        <v>3</v>
      </c>
      <c r="H32" s="151">
        <f>+H26-1</f>
        <v>5</v>
      </c>
    </row>
    <row r="33" ht="12.75">
      <c r="B33" s="153"/>
    </row>
    <row r="34" spans="1:7" ht="12.75">
      <c r="A34" s="142" t="s">
        <v>184</v>
      </c>
      <c r="C34" s="152">
        <f>+B$15/4*C$15</f>
        <v>-16025.000000000002</v>
      </c>
      <c r="D34" s="152">
        <f>+B32/4*D32</f>
        <v>16.962572112746738</v>
      </c>
      <c r="E34" s="153">
        <f>+D34+C34</f>
        <v>-16008.037427887255</v>
      </c>
      <c r="G34" s="160"/>
    </row>
    <row r="35" spans="1:8" ht="12.75">
      <c r="A35" s="142" t="s">
        <v>185</v>
      </c>
      <c r="C35" s="153">
        <f>-C34</f>
        <v>16025.000000000002</v>
      </c>
      <c r="D35" s="153">
        <f>+(B32-B$15)/4*-C$15</f>
        <v>-224.99999999999952</v>
      </c>
      <c r="F35" s="153">
        <f>+D35+C35</f>
        <v>15800.000000000002</v>
      </c>
      <c r="G35" s="161"/>
      <c r="H35" s="164"/>
    </row>
    <row r="36" spans="1:5" ht="12.75">
      <c r="A36" s="142" t="s">
        <v>191</v>
      </c>
      <c r="C36" s="152">
        <f>PMT(B32/4,H32,0,C31,0)</f>
        <v>208.03742788725654</v>
      </c>
      <c r="D36" s="152">
        <v>0</v>
      </c>
      <c r="E36" s="153">
        <f>+C36</f>
        <v>208.03742788725654</v>
      </c>
    </row>
    <row r="37" spans="1:6" ht="15">
      <c r="A37" s="142" t="s">
        <v>186</v>
      </c>
      <c r="C37" s="156">
        <f>+C38-C32-C36</f>
        <v>12221.079501271544</v>
      </c>
      <c r="D37" s="155">
        <f>-C37</f>
        <v>-12221.079501271544</v>
      </c>
      <c r="E37" s="157">
        <v>0</v>
      </c>
      <c r="F37" s="157">
        <v>0</v>
      </c>
    </row>
    <row r="38" spans="1:8" ht="12.75">
      <c r="A38" s="147" t="s">
        <v>193</v>
      </c>
      <c r="B38" s="148">
        <v>0.076</v>
      </c>
      <c r="C38" s="149">
        <f>-(PV(B38/4,H38,C34)-C$15/(1+B38/4)^H38)</f>
        <v>-988644.4635843062</v>
      </c>
      <c r="D38" s="149">
        <f>SUM(D34:D37)+D32</f>
        <v>-11355.536415693814</v>
      </c>
      <c r="E38" s="149">
        <f>SUM(E34:E37)</f>
        <v>-15799.999999999998</v>
      </c>
      <c r="F38" s="149">
        <f>SUM(F35:F37)</f>
        <v>15800.000000000002</v>
      </c>
      <c r="G38" s="151">
        <v>4</v>
      </c>
      <c r="H38" s="151">
        <f>+H32-1</f>
        <v>4</v>
      </c>
    </row>
    <row r="39" spans="2:3" ht="12.75">
      <c r="B39" s="153"/>
      <c r="C39" s="158"/>
    </row>
    <row r="40" spans="1:7" ht="12.75">
      <c r="A40" s="142" t="s">
        <v>184</v>
      </c>
      <c r="C40" s="152">
        <f>+B$15/4*C$15</f>
        <v>-16025.000000000002</v>
      </c>
      <c r="D40" s="152">
        <f>+B38/4*D38</f>
        <v>-215.75519189818246</v>
      </c>
      <c r="E40" s="153">
        <f>+D40+C40</f>
        <v>-16240.755191898184</v>
      </c>
      <c r="G40" s="160"/>
    </row>
    <row r="41" spans="1:7" ht="12.75">
      <c r="A41" s="142" t="s">
        <v>185</v>
      </c>
      <c r="C41" s="153">
        <f>-C40</f>
        <v>16025.000000000002</v>
      </c>
      <c r="D41" s="153">
        <f>+(B38-B$15)/4*-C$15</f>
        <v>2974.9999999999986</v>
      </c>
      <c r="F41" s="153">
        <f>+D41+C41</f>
        <v>19000</v>
      </c>
      <c r="G41" s="161"/>
    </row>
    <row r="42" spans="1:8" ht="12.75">
      <c r="A42" s="142" t="s">
        <v>191</v>
      </c>
      <c r="C42" s="152">
        <f>PMT(B38/4,H38,0,-C$15+C38,0)</f>
        <v>-2759.244808101799</v>
      </c>
      <c r="D42" s="152">
        <v>0</v>
      </c>
      <c r="E42" s="153">
        <f>+C42</f>
        <v>-2759.244808101799</v>
      </c>
      <c r="H42" s="162"/>
    </row>
    <row r="43" spans="1:6" ht="15">
      <c r="A43" s="142" t="s">
        <v>186</v>
      </c>
      <c r="C43" s="156">
        <f>+C44-C38-C42</f>
        <v>789.5805532288559</v>
      </c>
      <c r="D43" s="155">
        <f>-C43</f>
        <v>-789.5805532288559</v>
      </c>
      <c r="E43" s="157">
        <v>0</v>
      </c>
      <c r="F43" s="157">
        <v>0</v>
      </c>
    </row>
    <row r="44" spans="1:8" ht="12.75">
      <c r="A44" s="147" t="s">
        <v>194</v>
      </c>
      <c r="B44" s="148">
        <v>0.0771</v>
      </c>
      <c r="C44" s="149">
        <f>-(PV(B44/4,H44,C40)-C$15/(1+B44/4)^H44)</f>
        <v>-990614.1278391791</v>
      </c>
      <c r="D44" s="149">
        <f>SUM(D40:D43)+D38</f>
        <v>-9385.872160820854</v>
      </c>
      <c r="E44" s="149">
        <f>SUM(E40:E43)</f>
        <v>-18999.999999999985</v>
      </c>
      <c r="F44" s="149">
        <f>SUM(F41:F43)</f>
        <v>19000</v>
      </c>
      <c r="G44" s="151">
        <v>5</v>
      </c>
      <c r="H44" s="151">
        <f>+H38-1</f>
        <v>3</v>
      </c>
    </row>
    <row r="45" spans="2:3" ht="12.75">
      <c r="B45" s="153"/>
      <c r="C45" s="158"/>
    </row>
    <row r="46" spans="1:7" ht="12.75">
      <c r="A46" s="142" t="s">
        <v>184</v>
      </c>
      <c r="C46" s="152">
        <f>+B$15/4*C$15</f>
        <v>-16025.000000000002</v>
      </c>
      <c r="D46" s="152">
        <f>+B44/4*D44</f>
        <v>-180.91268589982198</v>
      </c>
      <c r="E46" s="153">
        <f>+D46+C46</f>
        <v>-16205.912685899824</v>
      </c>
      <c r="G46" s="160"/>
    </row>
    <row r="47" spans="1:7" ht="12.75">
      <c r="A47" s="142" t="s">
        <v>185</v>
      </c>
      <c r="C47" s="153">
        <f>-C46</f>
        <v>16025.000000000002</v>
      </c>
      <c r="D47" s="153">
        <f>+(B44-B$15)/4*-C$15</f>
        <v>3249.9999999999995</v>
      </c>
      <c r="F47" s="153">
        <f>+D47+C47</f>
        <v>19275</v>
      </c>
      <c r="G47" s="161"/>
    </row>
    <row r="48" spans="1:5" ht="12.75">
      <c r="A48" s="142" t="s">
        <v>191</v>
      </c>
      <c r="C48" s="152">
        <f>PMT(B44/4,H44,0,-C$15+C44,0)</f>
        <v>-3069.0873141001694</v>
      </c>
      <c r="D48" s="152">
        <v>0</v>
      </c>
      <c r="E48" s="153">
        <f>+C48</f>
        <v>-3069.0873141001694</v>
      </c>
    </row>
    <row r="49" spans="1:6" ht="15">
      <c r="A49" s="142" t="s">
        <v>186</v>
      </c>
      <c r="C49" s="156">
        <f>+C50-C44-C48</f>
        <v>531.7342841299733</v>
      </c>
      <c r="D49" s="155">
        <f>-C49</f>
        <v>-531.7342841299733</v>
      </c>
      <c r="E49" s="157">
        <v>0</v>
      </c>
      <c r="F49" s="157">
        <v>0</v>
      </c>
    </row>
    <row r="50" spans="1:8" ht="12.75">
      <c r="A50" s="147" t="s">
        <v>195</v>
      </c>
      <c r="B50" s="148">
        <v>0.0782</v>
      </c>
      <c r="C50" s="149">
        <f>-(PV(B50/4,H50,C46)-C$15/(1+B50/4)^H50)</f>
        <v>-993151.4808691493</v>
      </c>
      <c r="D50" s="149">
        <f>SUM(D46:D49)+D44</f>
        <v>-6848.51913085065</v>
      </c>
      <c r="E50" s="149">
        <f>SUM(E46:E49)</f>
        <v>-19274.999999999993</v>
      </c>
      <c r="F50" s="149">
        <f>SUM(F47:F49)</f>
        <v>19275</v>
      </c>
      <c r="G50" s="151">
        <v>6</v>
      </c>
      <c r="H50" s="151">
        <f>+H44-1</f>
        <v>2</v>
      </c>
    </row>
    <row r="51" spans="2:3" ht="12.75">
      <c r="B51" s="153"/>
      <c r="C51" s="158"/>
    </row>
    <row r="52" spans="1:7" ht="12.75">
      <c r="A52" s="142" t="s">
        <v>184</v>
      </c>
      <c r="C52" s="152">
        <f>+B$15/4*C$15</f>
        <v>-16025.000000000002</v>
      </c>
      <c r="D52" s="152">
        <f>+B50/4*D50</f>
        <v>-133.8885490081302</v>
      </c>
      <c r="E52" s="153">
        <f>+D52+C52</f>
        <v>-16158.888549008132</v>
      </c>
      <c r="G52" s="160"/>
    </row>
    <row r="53" spans="1:7" ht="12.75">
      <c r="A53" s="142" t="s">
        <v>185</v>
      </c>
      <c r="C53" s="153">
        <f>-C52</f>
        <v>16025.000000000002</v>
      </c>
      <c r="D53" s="153">
        <f>+(B50-B$15)/4*-C$15</f>
        <v>3525.0000000000005</v>
      </c>
      <c r="F53" s="153">
        <f>+D53+C53</f>
        <v>19550.000000000004</v>
      </c>
      <c r="G53" s="161"/>
    </row>
    <row r="54" spans="1:8" ht="12.75">
      <c r="A54" s="142" t="s">
        <v>191</v>
      </c>
      <c r="C54" s="152">
        <f>PMT(B50/4,H50,0,-C$15+C50,0)</f>
        <v>-3391.111450991902</v>
      </c>
      <c r="D54" s="152">
        <v>0</v>
      </c>
      <c r="E54" s="153">
        <f>+C54</f>
        <v>-3391.111450991902</v>
      </c>
      <c r="H54" s="164"/>
    </row>
    <row r="55" spans="1:6" ht="15">
      <c r="A55" s="142" t="s">
        <v>186</v>
      </c>
      <c r="C55" s="156">
        <f>+C56-C50-C54</f>
        <v>-978.3933948456947</v>
      </c>
      <c r="D55" s="155">
        <f>-C55</f>
        <v>978.3933948456947</v>
      </c>
      <c r="E55" s="157">
        <v>0</v>
      </c>
      <c r="F55" s="157">
        <v>0</v>
      </c>
    </row>
    <row r="56" spans="1:8" ht="12.75">
      <c r="A56" s="147" t="s">
        <v>192</v>
      </c>
      <c r="B56" s="148">
        <v>0.0742</v>
      </c>
      <c r="C56" s="149">
        <f>-(PV(B56/4,H56,C52)-C$15/(1+B56/4)^H56)</f>
        <v>-997520.9857149869</v>
      </c>
      <c r="D56" s="149">
        <f>SUM(D52:D55)+D50</f>
        <v>-2479.014285013085</v>
      </c>
      <c r="E56" s="149">
        <f>SUM(E52:E55)</f>
        <v>-19550.000000000033</v>
      </c>
      <c r="F56" s="149">
        <f>SUM(F53:F55)</f>
        <v>19550.000000000004</v>
      </c>
      <c r="G56" s="151">
        <v>7</v>
      </c>
      <c r="H56" s="151">
        <f>+H50-1</f>
        <v>1</v>
      </c>
    </row>
    <row r="57" spans="2:3" ht="12.75">
      <c r="B57" s="153"/>
      <c r="C57" s="153"/>
    </row>
    <row r="58" spans="1:7" ht="12.75">
      <c r="A58" s="142" t="s">
        <v>184</v>
      </c>
      <c r="C58" s="152">
        <f>+B$15/4*C$15</f>
        <v>-16025.000000000002</v>
      </c>
      <c r="D58" s="152">
        <f>+B56/4*D56</f>
        <v>-45.98571498699273</v>
      </c>
      <c r="E58" s="153">
        <f>+D58+C58</f>
        <v>-16070.985714986995</v>
      </c>
      <c r="G58" s="160"/>
    </row>
    <row r="59" spans="1:7" ht="12.75">
      <c r="A59" s="142" t="s">
        <v>185</v>
      </c>
      <c r="C59" s="153">
        <f>-C58</f>
        <v>16025.000000000002</v>
      </c>
      <c r="D59" s="153">
        <f>+(B56-B$15)/4*-C$15</f>
        <v>2524.9999999999995</v>
      </c>
      <c r="F59" s="153">
        <f>+D59+C59</f>
        <v>18550</v>
      </c>
      <c r="G59" s="161"/>
    </row>
    <row r="60" spans="1:5" ht="12.75">
      <c r="A60" s="142" t="s">
        <v>191</v>
      </c>
      <c r="C60" s="152">
        <f>PMT(B56/4,H56,0,-C$15+C56,0)</f>
        <v>-2479.014285013071</v>
      </c>
      <c r="D60" s="152">
        <v>0</v>
      </c>
      <c r="E60" s="153">
        <f>+C60</f>
        <v>-2479.014285013071</v>
      </c>
    </row>
    <row r="61" spans="1:6" ht="15">
      <c r="A61" s="142" t="s">
        <v>186</v>
      </c>
      <c r="C61" s="156">
        <v>0</v>
      </c>
      <c r="D61" s="155">
        <f>-C61</f>
        <v>0</v>
      </c>
      <c r="E61" s="157">
        <v>0</v>
      </c>
      <c r="F61" s="157">
        <v>0</v>
      </c>
    </row>
    <row r="62" spans="1:8" ht="12.75">
      <c r="A62" s="147" t="s">
        <v>193</v>
      </c>
      <c r="B62" s="148"/>
      <c r="C62" s="149">
        <v>0</v>
      </c>
      <c r="D62" s="149">
        <f>SUM(D58:D61)+D56</f>
        <v>-7.821654435247183E-11</v>
      </c>
      <c r="E62" s="149">
        <f>SUM(E58:E61)</f>
        <v>-18550.000000000065</v>
      </c>
      <c r="F62" s="149">
        <f>SUM(F59:F61)</f>
        <v>18550</v>
      </c>
      <c r="G62" s="151">
        <v>8</v>
      </c>
      <c r="H62" s="151">
        <f>+H56-1</f>
        <v>0</v>
      </c>
    </row>
    <row r="63" ht="12.75">
      <c r="C63" s="164"/>
    </row>
    <row r="65" ht="12.75"/>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E. Jenson</dc:creator>
  <cp:keywords/>
  <dc:description/>
  <cp:lastModifiedBy>Robert E. Jenson</cp:lastModifiedBy>
  <cp:lastPrinted>1999-09-17T19:12:45Z</cp:lastPrinted>
  <dcterms:created xsi:type="dcterms:W3CDTF">1998-07-10T13:36:11Z</dcterms:created>
  <dcterms:modified xsi:type="dcterms:W3CDTF">2000-08-03T07:01:46Z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