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8655" windowHeight="4395" activeTab="0"/>
  </bookViews>
  <sheets>
    <sheet name="Introduction" sheetId="1" r:id="rId1"/>
    <sheet name="Journal" sheetId="2" r:id="rId2"/>
    <sheet name="Questions" sheetId="3" r:id="rId3"/>
    <sheet name="Exam" sheetId="4" r:id="rId4"/>
  </sheets>
  <definedNames>
    <definedName name="_01" localSheetId="0">'Introduction'!#REF!</definedName>
    <definedName name="_02" localSheetId="0">'Introduction'!#REF!</definedName>
    <definedName name="_03" localSheetId="0">'Introduction'!$A$18:$A$18</definedName>
    <definedName name="_04" localSheetId="0">'Introduction'!$A$38:$A$38</definedName>
    <definedName name="_05" localSheetId="0">'Introduction'!#REF!</definedName>
    <definedName name="_06" localSheetId="0">'Introduction'!#REF!</definedName>
    <definedName name="_07" localSheetId="0">'Introduction'!$A$82:$A$82</definedName>
    <definedName name="_08" localSheetId="0">'Introduction'!#REF!</definedName>
    <definedName name="_09" localSheetId="0">'Introduction'!#REF!</definedName>
    <definedName name="_10" localSheetId="0">'Introduction'!#REF!</definedName>
  </definedNames>
  <calcPr fullCalcOnLoad="1"/>
</workbook>
</file>

<file path=xl/comments2.xml><?xml version="1.0" encoding="utf-8"?>
<comments xmlns="http://schemas.openxmlformats.org/spreadsheetml/2006/main">
  <authors>
    <author>rjensen</author>
  </authors>
  <commentList>
    <comment ref="I110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$251,000,000 + Interest</t>
        </r>
      </text>
    </comment>
    <comment ref="I118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Interest on loan</t>
        </r>
      </text>
    </comment>
  </commentList>
</comments>
</file>

<file path=xl/sharedStrings.xml><?xml version="1.0" encoding="utf-8"?>
<sst xmlns="http://schemas.openxmlformats.org/spreadsheetml/2006/main" count="1977" uniqueCount="780">
  <si>
    <t>Why was Sogem in Belgium hedging contract demanded by the ten banks?  Ignore the copper</t>
  </si>
  <si>
    <t>price swap with Banque Paribus when answering Question 2.</t>
  </si>
  <si>
    <t xml:space="preserve">11.48% level remains fixed only so long as the surplus in the escrow account is returned monthly to </t>
  </si>
  <si>
    <t>How can these risks be hedged by Sogem and Banque Paribus?</t>
  </si>
  <si>
    <t>copper price risks have been hedged?  In other words, why wouldn't the loan be attractive to</t>
  </si>
  <si>
    <t>The New York banks have hedged most risks other than the fundamental risk that Mexcobre</t>
  </si>
  <si>
    <t>Note that the hedges ipso facto justify risk free loan rates.  The hedge contracts themselves have risks.</t>
  </si>
  <si>
    <t>rise.  In that instance, however, the ultimate yield is not fixed irrespective of price increases beyond a</t>
  </si>
  <si>
    <t xml:space="preserve">When answering this question first present arguments on both sides of each issue.   Then reason </t>
  </si>
  <si>
    <t>(Your instructor may prefer to provide you with this loan amortization schedule so that all students work</t>
  </si>
  <si>
    <t>with the same schedule.)</t>
  </si>
  <si>
    <t>Teaching Note:</t>
  </si>
  <si>
    <t xml:space="preserve">others is to adjust all derivative financial instruments to fair value and delete the enormous complexity of </t>
  </si>
  <si>
    <t>values is highly misleading to investors.  This would be true even if the particular derivative instruments in</t>
  </si>
  <si>
    <t xml:space="preserve">this case were traded in markets that are wide and deep (which is not the situation in the actual case).  </t>
  </si>
  <si>
    <t>I recommend giving this case to students as an assignment or take home examination.  I allow my students to use</t>
  </si>
  <si>
    <t>With</t>
  </si>
  <si>
    <t>Return of</t>
  </si>
  <si>
    <t>Excess</t>
  </si>
  <si>
    <t>Funds</t>
  </si>
  <si>
    <t>Without</t>
  </si>
  <si>
    <t>Monthly</t>
  </si>
  <si>
    <t>Annually</t>
  </si>
  <si>
    <t>($7909666 - $5,561,666)/$245,491,568 rate of return for February</t>
  </si>
  <si>
    <t>($7909666 - $5,614,331)/$239,877,237 rate of return for March</t>
  </si>
  <si>
    <t>Monthly Rate</t>
  </si>
  <si>
    <t>See the loan amortization schedule in Sheet 3</t>
  </si>
  <si>
    <t>I generally end up giving my students the Sheet 3 amortization schedule that is called for in Question 10.  If they</t>
  </si>
  <si>
    <t>making decisions as to what contracts must be versus what contracts cannot be adjusted to fair value.</t>
  </si>
  <si>
    <t xml:space="preserve">The case actually supports the arguments of many bankers who contend that SFAS 133 leads to </t>
  </si>
  <si>
    <t>misleading financial statements.</t>
  </si>
  <si>
    <t>When solving the case I tell my students to first think about using my SFAS 133 Glossary as a starting point</t>
  </si>
  <si>
    <t>when answering the questions below.  That Glossary is at</t>
  </si>
  <si>
    <t xml:space="preserve">http://WWW.Trinity.edu/rjensen/acct5341/speakers/133glosf.htm </t>
  </si>
  <si>
    <t>Students might make a valid argument that the Sogem contract is not a derivative instrument since</t>
  </si>
  <si>
    <t>standpoint of Sogem's willingness to contract for 4,000 tons of copper per month and send the current value of</t>
  </si>
  <si>
    <t>that copper to the New York banks as Mexcobre's debt service on a loan.  If the Segem hedging</t>
  </si>
  <si>
    <t xml:space="preserve">it does not "derive" its value from an external index or commodity price.   It derives its value from the </t>
  </si>
  <si>
    <t>vis-à-vis the United States.  This is one possible reason that the ten lending banks worked out a</t>
  </si>
  <si>
    <t xml:space="preserve">a very large customer at current market (spot) rates.  The contract with Sogem virtually eliminates </t>
  </si>
  <si>
    <t>Protecting against the risk that Mexcobre will stop producing copper is very difficult to achieve</t>
  </si>
  <si>
    <t>without expensive or politically-difficult third party guarantees.</t>
  </si>
  <si>
    <t xml:space="preserve">Does the net effect of all this transacting result in fixed-rate or variable-rate loan to Mexcobre? </t>
  </si>
  <si>
    <t>loan payment from the fund accumulated variable payments from Sogem and the net swap payments</t>
  </si>
  <si>
    <t>1.  $251 million loan to Mexcobre on January 1, 19x1;</t>
  </si>
  <si>
    <t xml:space="preserve">assuming 4,000 tons per month at spot prices of $1,850 per ton in January, </t>
  </si>
  <si>
    <t>$2,100 per ton in February, and $2,400 per ton in March;</t>
  </si>
  <si>
    <t xml:space="preserve">February 28, and March 31 on fixed swap receipts of $2,000 per ton and swap </t>
  </si>
  <si>
    <t>payments at the same prices used by Sogem to transmit the payments each month;</t>
  </si>
  <si>
    <t xml:space="preserve">3.  the variable monthly payments from Sogem on January 31, February 28, and March 31 </t>
  </si>
  <si>
    <t>that it was effectively denied access to international debt markets.  At the same time, it was paying</t>
  </si>
  <si>
    <t xml:space="preserve">burdensome 23% interest rate to the Mexican Government.  Through a complex international </t>
  </si>
  <si>
    <t xml:space="preserve">The Mexcobre copper exporting subsidiary of Groupo Mexico faced such enormous financial price risks   </t>
  </si>
  <si>
    <t>contract between IBM and the World Bank in 1981, this type of derivative was used to manage risk</t>
  </si>
  <si>
    <t xml:space="preserve"> in a copper mining operation in a Mexican company called Mexicana de Cobre (Mexcobre), a</t>
  </si>
  <si>
    <t>subsidiary of a copper mining group in Mexicao called Group Mexico.    The transaction eventually</t>
  </si>
  <si>
    <t xml:space="preserve">Shortly after Salamon Brothers  invented the interest rate swap financial instruments derivative in a   </t>
  </si>
  <si>
    <t xml:space="preserve">in copper mining, the Mexican government is not likely to take drastic measures or impose taxes that </t>
  </si>
  <si>
    <t xml:space="preserve">impede the mining and sale of copper.  However, the government might impede cash flows.  For </t>
  </si>
  <si>
    <t xml:space="preserve">example, suppose the Mexican government chooses to  tax or otherwise impede interest payments going </t>
  </si>
  <si>
    <t>to  the ten banks outside of Mexico in an effort to protect its own loans to Mexican companies.  The</t>
  </si>
  <si>
    <t xml:space="preserve">ten outside banks hedged against such political risk by avoiding cash payments from Mexico.  This </t>
  </si>
  <si>
    <t xml:space="preserve">was accomplished with a purchase contract in which a firm called Sogem in Belgium agreed to purchase </t>
  </si>
  <si>
    <t>nearly 4,000 tons of copper each month at spot rates on the London Mercantile Exchange (LME).</t>
  </si>
  <si>
    <t xml:space="preserve">Payments, however, went into an escrow account in a New York bank.  These funds, in turn, were </t>
  </si>
  <si>
    <t>In summary, you are to provide answers in the following tables:</t>
  </si>
  <si>
    <t>With a copper price swap</t>
  </si>
  <si>
    <t>With no copper price swap</t>
  </si>
  <si>
    <t xml:space="preserve">       Month:  January</t>
  </si>
  <si>
    <t>Year 1</t>
  </si>
  <si>
    <t xml:space="preserve">       Month:  February</t>
  </si>
  <si>
    <t xml:space="preserve">         Month:  March</t>
  </si>
  <si>
    <t>Breakeven price of copper =</t>
  </si>
  <si>
    <t>In summary, the answers are as follows:</t>
  </si>
  <si>
    <t xml:space="preserve">A crucial part of the case came in reducing political risk in Mexico.  Since so much labor is involved       </t>
  </si>
  <si>
    <t>involved ten banks in several nations, a Belgian customer, multiple foreign currencies, and Mexcobre itself.</t>
  </si>
  <si>
    <t xml:space="preserve">If copper prices plunged, there was a possibility that the balance of funds in escrow in New York would   </t>
  </si>
  <si>
    <t xml:space="preserve">hedge against copper price movements.  Bank Paibus was willing to swap with the escrow fund for </t>
  </si>
  <si>
    <t xml:space="preserve">The Bank in New York controlling the escrow account acted at the request of the ten lending banks to </t>
  </si>
  <si>
    <t xml:space="preserve"> variable copper prices and guarantee a fixed monthly price or $2,000 per ton on 4,000 tons per month..</t>
  </si>
  <si>
    <t xml:space="preserve">de Cobre (Mexcobre) on at a fixed interest rate and did not engage in the other contracting mentioned </t>
  </si>
  <si>
    <t>out your own conclusions.</t>
  </si>
  <si>
    <t xml:space="preserve">In Question 1, you discussed the various types of risks faced by the ten banks if they simply loaned   </t>
  </si>
  <si>
    <t>Paragraph 61i on Page 43 of SFAS 133 is troublesome in terms of trying to treat the copper price</t>
  </si>
  <si>
    <t>swap under cash flow hedge accounting rules.  The intent of Paragraph 61i is to deny hedge accounting</t>
  </si>
  <si>
    <t>spot price of copper.  The copper price swap with Mexcobre, however, works just the opposite in that</t>
  </si>
  <si>
    <t>swap payments from the Banque Paribus are fixed no matter what the commodity price of copper</t>
  </si>
  <si>
    <t xml:space="preserve">becomes.  Since the swap payments are fixed at the exact amount that services the Mexcobre $251 </t>
  </si>
  <si>
    <t>million debt contract, Paragraph 61i, in my viewpoint, does not prevent accounting for the copper price</t>
  </si>
  <si>
    <t>if any amount of interest and principal payment varies with the a commodity price such as the LME</t>
  </si>
  <si>
    <t>An example of an embedded derivative does not meet the hedging requirement of being clearly and</t>
  </si>
  <si>
    <t>closely related to the host contract would be what is called a crude oil knock-in note in which the</t>
  </si>
  <si>
    <t>on that hedged note can never go below (or above) that 11.48% rate.</t>
  </si>
  <si>
    <t>note payments are guaranteed by the upside potential of crude prices.  In that case the minimum cash</t>
  </si>
  <si>
    <t>certain threshold.</t>
  </si>
  <si>
    <t>Bob Jensen at Trinity University</t>
  </si>
  <si>
    <t>Introduction</t>
  </si>
  <si>
    <t>How did a copper swap reduce copper price fluctuation risk?</t>
  </si>
  <si>
    <t>Question 01</t>
  </si>
  <si>
    <t>Question 02</t>
  </si>
  <si>
    <t>Question 03</t>
  </si>
  <si>
    <t>Question 04</t>
  </si>
  <si>
    <t>Question 05</t>
  </si>
  <si>
    <t>Question 06</t>
  </si>
  <si>
    <t>Question 07</t>
  </si>
  <si>
    <t>Question 08</t>
  </si>
  <si>
    <t>Question 09</t>
  </si>
  <si>
    <t>Question 10</t>
  </si>
  <si>
    <t>How did swaps reduce copper price fluctuation risk?</t>
  </si>
  <si>
    <t>Why do companies enter into swaps?</t>
  </si>
  <si>
    <t>Case Questions</t>
  </si>
  <si>
    <t>Copper Swap," Corporate Risk Management and on "Mexcobre Loan Deal Repays</t>
  </si>
  <si>
    <t xml:space="preserve">Debt," Corporate Finance, August 1989.  It is reproduced in Managing Financial Risk:  </t>
  </si>
  <si>
    <t>A Guide to Derivative Products, Financial Engineering, and Value Maximization by</t>
  </si>
  <si>
    <t xml:space="preserve"> C.W. Smithson, C.W. Smith, Jr., and D.S. Wilford (Chicago:  Irwin Professional Publsihing)</t>
  </si>
  <si>
    <t xml:space="preserve">Acknowledgement:  I am grateful to Rashad Abdel-Khalik for making me aware of this illustration during </t>
  </si>
  <si>
    <t>http://www.trinity.edu/~rjensen</t>
  </si>
  <si>
    <t xml:space="preserve">rate obligations.  The firm with variable rate debt can often swap for a better deal than can be obtained </t>
  </si>
  <si>
    <t xml:space="preserve"> loan.  Reasons for this can be complicated.  Sometimes it is a matter of timing.  For example,  when</t>
  </si>
  <si>
    <t>a firm acquires variable rate debt, that type of debt may appear to be the best deal.   With the</t>
  </si>
  <si>
    <t xml:space="preserve"> probably not be periodically remeasured to market value under SFAS 115 rules.  Why might this not affect </t>
  </si>
  <si>
    <t>to provide you with this loan amortization schedule so that all students work with the same schedule.)</t>
  </si>
  <si>
    <r>
      <t>having to remeasure the copper price swap to market value on the books of the bank? </t>
    </r>
    <r>
      <rPr>
        <sz val="10"/>
        <color indexed="10"/>
        <rFont val="Arial"/>
        <family val="2"/>
      </rPr>
      <t xml:space="preserve"> (Your instructor may prefer </t>
    </r>
  </si>
  <si>
    <t>The copper price hedge is perfectly effective in hedging the cash flows from Sogem.  It meets</t>
  </si>
  <si>
    <t>all effectiveness tests in SFAS 133.  In maintaining a constant $8 million cash flow, however</t>
  </si>
  <si>
    <t>the swap's value declines in Febrary and March do to soaring prices of copper.</t>
  </si>
  <si>
    <t>Bob Jensen's Answers are shown below:</t>
  </si>
  <si>
    <t>had been possible to not have an interest rate cap, the return would rise to 1.0193% per month.</t>
  </si>
  <si>
    <t>Mexcobre Examination</t>
  </si>
  <si>
    <t>See Sheet 2 for the Graphs</t>
  </si>
  <si>
    <t>See my Sheet 3 answer for Question 8</t>
  </si>
  <si>
    <t>See my Sheet 2 answer for the graphs.</t>
  </si>
  <si>
    <t>You may see a more complete answer in Sheet 2.</t>
  </si>
  <si>
    <t>To obtain the contracted return of 0.9567% per month, the New York Bank must receive exactly</t>
  </si>
  <si>
    <t>Sogem is paying spot and, therefore, Sogem has a copper</t>
  </si>
  <si>
    <t>price risk on the copper inventory before and after shipment.</t>
  </si>
  <si>
    <t>copper in the future.  Therefore, Sogem has taken on a price risk on 4,000 tons each month</t>
  </si>
  <si>
    <t>Sogem could hedge this risk with a short position.</t>
  </si>
  <si>
    <t xml:space="preserve">Assume the books are closed at the end of each month and show the closing entry to Retained Earnings </t>
  </si>
  <si>
    <t>as well as the closing balance in retained earnings assuming no other transactions.</t>
  </si>
  <si>
    <t xml:space="preserve">Banque Paribus contracts.  Accumulate the balances for Cash, Other Comprehensive Income, and </t>
  </si>
  <si>
    <t>Lastly, you are to discuss how the accounting would differ under IAS 39 versus SFAS 133.</t>
  </si>
  <si>
    <t>Mexcobre Case:  The Real World Case of a Controversial</t>
  </si>
  <si>
    <t xml:space="preserve"> Accounting for a Copper Swap that Challenges SFAS 133</t>
  </si>
  <si>
    <t xml:space="preserve">http://www.trinity.edu/rjensen/acct5341/speakers/133sp.htm </t>
  </si>
  <si>
    <t>low, Mexcobre could refinance at lower rates to get out of the higher fixed rate of interest contracted</t>
  </si>
  <si>
    <t>will fail to ship 4,000 tons of copper to Sogem in Belgium each and every month.  It is unlikely</t>
  </si>
  <si>
    <t xml:space="preserve">in Paragraphs 176-177on Page 93.  Also the FASB reversed its exposure draft position on compound </t>
  </si>
  <si>
    <t xml:space="preserve">swap as a cash flow hedge.  The swap prevents the bank from benefiting from upside potential of </t>
  </si>
  <si>
    <t>In my opinion, the copper price swap clearly qualifies as a cash flow hedge under SFAS 133.</t>
  </si>
  <si>
    <t>the swap's value declines in February and March do to soaring prices of copper.</t>
  </si>
  <si>
    <t xml:space="preserve">Retained Earnings from the January 31 balances.  Assume that the LME copper spot prices are $2,100 </t>
  </si>
  <si>
    <t>for February and $2,400 for March on 4,000 tons of copper each month.</t>
  </si>
  <si>
    <t xml:space="preserve">the bank has some type of income from Sogem that is paid in cash each month equal to the LME spot </t>
  </si>
  <si>
    <t xml:space="preserve">price of copper multiplied by 4,000 tons each month.  In other words, pretend for now that the New York </t>
  </si>
  <si>
    <t xml:space="preserve">bank can retain all cash flows from its swap contract with Banque Paribus.  Assume the New York bank </t>
  </si>
  <si>
    <t xml:space="preserve">in this instance chooses to account for the copper swap as a cash flow hedge under SFAS 133 (ignoring </t>
  </si>
  <si>
    <t xml:space="preserve">any argument that SFAS 133 might not apply).  You are to make journal entries for only the copper price </t>
  </si>
  <si>
    <t xml:space="preserve">hedge between the New York bank and Banque Paribus.  Ignore the fact that ten banks are involved and </t>
  </si>
  <si>
    <t xml:space="preserve">assume all net swap payments flow to or from the New York bank.  Also ignore arguments such as those </t>
  </si>
  <si>
    <t xml:space="preserve">given in Question 2 that the note may not qualify as a hedged item under SFAS 133 criteria for hedged </t>
  </si>
  <si>
    <t>items.</t>
  </si>
  <si>
    <r>
      <t xml:space="preserve">Interest expense/revenue </t>
    </r>
    <r>
      <rPr>
        <sz val="10"/>
        <color indexed="8"/>
        <rFont val="Arial"/>
        <family val="2"/>
      </rPr>
      <t>(this account is not used in Question 7)</t>
    </r>
  </si>
  <si>
    <r>
      <t>Loss/gain on copper price speculation</t>
    </r>
    <r>
      <rPr>
        <sz val="10"/>
        <rFont val="Arial"/>
        <family val="2"/>
      </rPr>
      <t xml:space="preserve"> (use this account with all cash flows in Questions 7)</t>
    </r>
  </si>
  <si>
    <t>Bob Jensen's answer reads as follows:</t>
  </si>
  <si>
    <r>
      <t xml:space="preserve">For this question, assume there is </t>
    </r>
    <r>
      <rPr>
        <b/>
        <sz val="10"/>
        <color indexed="10"/>
        <rFont val="Arial"/>
        <family val="2"/>
      </rPr>
      <t>no</t>
    </r>
    <r>
      <rPr>
        <sz val="10"/>
        <rFont val="Arial"/>
        <family val="0"/>
      </rPr>
      <t xml:space="preserve"> $251 million loan to Mexcobre. Instead, you may assume that </t>
    </r>
  </si>
  <si>
    <r>
      <t xml:space="preserve">obligation by sending the New York Bank a check for the </t>
    </r>
    <r>
      <rPr>
        <b/>
        <sz val="10"/>
        <color indexed="10"/>
        <rFont val="Arial"/>
        <family val="2"/>
      </rPr>
      <t>net difference</t>
    </r>
    <r>
      <rPr>
        <sz val="10"/>
        <rFont val="Arial"/>
        <family val="0"/>
      </rPr>
      <t xml:space="preserve"> between $2,000 per ton versus </t>
    </r>
  </si>
  <si>
    <t>Now you are to return to the case involving the loan to Mexcobre and the copper price swap.</t>
  </si>
  <si>
    <t>Bob Jensen's answer is in Sheet 3</t>
  </si>
  <si>
    <t xml:space="preserve">Compute the breakeven price of copper for which the New York bank will exactly earn its contracted </t>
  </si>
  <si>
    <t>0.9567% per month. Then comment on the impact of varying copper prices when surplus funds above</t>
  </si>
  <si>
    <t xml:space="preserve">Please draw two graphs comparing the monthly increase in cash versus the monthly increase in retained </t>
  </si>
  <si>
    <t xml:space="preserve">earnings for January 31, February 28, and March 31.  Also show the pattern of the change in the value </t>
  </si>
  <si>
    <t xml:space="preserve">of the copper price swap beside the changes in cash and retained earnings from these transactions.  </t>
  </si>
  <si>
    <t>You only need to graph the first three months.</t>
  </si>
  <si>
    <t>of SFAS 133 criteria for hedge effectiveness. Explain your answer.</t>
  </si>
  <si>
    <t>Bob Jensen's answers are show below.</t>
  </si>
  <si>
    <t>Graph 1:  Assuming a copper price swap and a return of excess cash</t>
  </si>
  <si>
    <t>do not get the same schedule the schedule derived in Sheet 3.</t>
  </si>
  <si>
    <t>There are various other types of risk including foreign currency and interest rate risk.  These risks</t>
  </si>
  <si>
    <t>Graph 2:  Assuming a copper price swap and no return of excess cash</t>
  </si>
  <si>
    <t xml:space="preserve">Please draw two additional graphs comparing the monthly changes retained earnings balances with versus </t>
  </si>
  <si>
    <r>
      <t xml:space="preserve">Graph 3:  Change in RE with versus without a swap and </t>
    </r>
    <r>
      <rPr>
        <sz val="10"/>
        <color indexed="10"/>
        <rFont val="Arial"/>
        <family val="0"/>
      </rPr>
      <t>return</t>
    </r>
    <r>
      <rPr>
        <sz val="10"/>
        <rFont val="Arial"/>
        <family val="0"/>
      </rPr>
      <t xml:space="preserve"> of cash flows in excess of $7,909,666 per month.</t>
    </r>
  </si>
  <si>
    <r>
      <t>Graph 1:  Assume copper price swap with a</t>
    </r>
    <r>
      <rPr>
        <sz val="10"/>
        <color indexed="10"/>
        <rFont val="Arial"/>
        <family val="0"/>
      </rPr>
      <t xml:space="preserve"> return</t>
    </r>
    <r>
      <rPr>
        <sz val="10"/>
        <rFont val="Arial"/>
        <family val="0"/>
      </rPr>
      <t xml:space="preserve"> of cash flows in excess of $7,909,666 per month.</t>
    </r>
  </si>
  <si>
    <r>
      <t xml:space="preserve">Graph 2:  Assume a copper price swap with </t>
    </r>
    <r>
      <rPr>
        <sz val="10"/>
        <color indexed="10"/>
        <rFont val="Arial"/>
        <family val="0"/>
      </rPr>
      <t>no return</t>
    </r>
    <r>
      <rPr>
        <sz val="10"/>
        <rFont val="Arial"/>
        <family val="0"/>
      </rPr>
      <t xml:space="preserve"> of cash flows in excess of $7,909,666 per month.</t>
    </r>
  </si>
  <si>
    <r>
      <t xml:space="preserve">Graph 4:  Change in RE with versus without a swap </t>
    </r>
    <r>
      <rPr>
        <sz val="10"/>
        <color indexed="10"/>
        <rFont val="Arial"/>
        <family val="2"/>
      </rPr>
      <t>no return</t>
    </r>
    <r>
      <rPr>
        <sz val="10"/>
        <rFont val="Arial"/>
        <family val="0"/>
      </rPr>
      <t xml:space="preserve"> of cash flows in excess of $7,909,666 per month.</t>
    </r>
  </si>
  <si>
    <t>With price swap</t>
  </si>
  <si>
    <t>Without a price swap</t>
  </si>
  <si>
    <t>Change in RE Balance</t>
  </si>
  <si>
    <t>Graph 3:  Change in retained earnings assuming a return of excess cash</t>
  </si>
  <si>
    <t>without a copper price swap.  Assume the copper prices given in Question 7.</t>
  </si>
  <si>
    <t>Graph 3:  Change in retained earnings assuming no return of excess cash</t>
  </si>
  <si>
    <t>http://WWW.Trinity.edu/rjensen/acct5341/speakers/133rasha.htm</t>
  </si>
  <si>
    <t xml:space="preserve">Can the copper price swap with Banque Paribus be accounted for as a cash flow hedge using SFAS 133 </t>
  </si>
  <si>
    <t xml:space="preserve">fixed monthly rate for 38 months.  In a spreadsheet, show the interest expense, principal reduction, and </t>
  </si>
  <si>
    <t xml:space="preserve">total loan payment each month that is deducted from the cash payments from Sogem and Banque Paribus.  </t>
  </si>
  <si>
    <t xml:space="preserve">Also show the "excess" cash each month if the copper price swap yields $8.0 million each month to service the </t>
  </si>
  <si>
    <t>amortized sum of the principal and interest portions that total $7,909,666 each month.  Discuss why the loan would</t>
  </si>
  <si>
    <t xml:space="preserve"> passage of time, the firm may change its preference toward fixed rate debt.  Negotiating an interest</t>
  </si>
  <si>
    <t>rate swap may have lower transactions cost than paying off the variable rate debt and refinancing</t>
  </si>
  <si>
    <t xml:space="preserve">In a simple (plain) vanilla swap, the purpose is usually to swap variable rate interest obligations for fixed    </t>
  </si>
  <si>
    <t>or otherwise prefer to swap for variable rate payments.</t>
  </si>
  <si>
    <t>advantageous.  Firms enter into swaps to either speculate or to hedge interest rate risk.  In some</t>
  </si>
  <si>
    <t>instances, fixed rate debt cannot be obtained directly at any rate.   For example, suppose a</t>
  </si>
  <si>
    <t>company has low or even zero credit standing in a certain nation and negotiates to swap interest</t>
  </si>
  <si>
    <t>payments with a company that has high credit standing in that nation.  Swaps are often brokered</t>
  </si>
  <si>
    <t xml:space="preserve">by international banks of high credit standing that eliminate credit risk of both parties to a swap.  In </t>
  </si>
  <si>
    <t xml:space="preserve">any case, swap cash flows are usually netted against each other so the default risk would be low even if </t>
  </si>
  <si>
    <t>there were no payment guarantees.  Direct loans often entail credit risk, especially if the borrower is</t>
  </si>
  <si>
    <t>Even if surplus funds are transferred the same day they are received, please run them into</t>
  </si>
  <si>
    <t>Accounts payable - Mexcobre and then settle the account in a separate entry.</t>
  </si>
  <si>
    <t>from one nation and the lender is from another nation.  Interest rate swaps account for over 70% of</t>
  </si>
  <si>
    <t>all financial instrument derivatives contracts.  The reason is that they are a means of reducing</t>
  </si>
  <si>
    <t xml:space="preserve">In more complex situations, there may be capital market inefficiencies that make interest rate swaps       </t>
  </si>
  <si>
    <t>credit risk, transactions costs, and market risk in hedging and speculating contracts.</t>
  </si>
  <si>
    <t xml:space="preserve"> </t>
  </si>
  <si>
    <t>Mexcobre.  If the surplus is not returned, then the net effect must include gains or losses from the</t>
  </si>
  <si>
    <t xml:space="preserve">The Banque Paribas was willing to take on the risk of a copper price loss while at the same time </t>
  </si>
  <si>
    <t>speculating on copper price increases.  This could be a net speculation or it could be that the variable</t>
  </si>
  <si>
    <t>contracts (especially the Sogem contract and the Banque Paribus contract), what risks remain to</t>
  </si>
  <si>
    <t>2.  the Banque Paribus swap contract on January 1, 19x1;</t>
  </si>
  <si>
    <t xml:space="preserve">receipts on this transaction hedge an opposing exposure of Bank Paribas.  In any case, Banque </t>
  </si>
  <si>
    <t>If either the Sogem or the Banque Paribus contracts are adjusted monthly to fair value, do you</t>
  </si>
  <si>
    <t xml:space="preserve">think that adjusting to fair value will help or hinder investor analysis of the New York bank(s)? </t>
  </si>
  <si>
    <t>clear that the hedged item is a firm commitment.  It then appears that Paragraph 29d is satisfied as</t>
  </si>
  <si>
    <t>justify charging 11.48% to Mexcobre rather than a much lower interest rate since political risks and</t>
  </si>
  <si>
    <t>Sogem.  The New York Banks could hedge this risk with long positions on copper (e.g., call options,</t>
  </si>
  <si>
    <t xml:space="preserve">is not at risk,  Only the net swap flow is at risk, and this is not at risk in many swaps where the </t>
  </si>
  <si>
    <t>swap broker (e.g., and investment bank) guarantees the net swap cast flows.</t>
  </si>
  <si>
    <t>the breakeven copper price are returned versus not returned to Mexcobre.</t>
  </si>
  <si>
    <t>New York bank(s)?   (One bank was assumed in Questions 7-12 in order to simplify portioning</t>
  </si>
  <si>
    <t>Unfortunately, SFAS 133 and its related SFAS 107 and SFAS 115 provide virtually no guidance</t>
  </si>
  <si>
    <t>No other contracts existed for 4,000 tons of copper per month across a 38 month horizon.</t>
  </si>
  <si>
    <t>contract with Banque Paibus is a custom-designed swap that is not traded in any market.</t>
  </si>
  <si>
    <t>Paibas accepted the variable copper price risk exposure in this illustration.   The ten banks that made</t>
  </si>
  <si>
    <t xml:space="preserve">Anything that could impede the cash flows from Sogem and Banque Paribus enters into the risk </t>
  </si>
  <si>
    <t>analysis.  Mexcobre could stop delivering copper to Sogem for a variety of reasons.  Sogem could</t>
  </si>
  <si>
    <t xml:space="preserve">prepayment option in a variable rate mortgage is based upon an interest rate index, the option is </t>
  </si>
  <si>
    <t>not live up to the terms of its contract.  Banque Paribus could default on the copper swap.  Note,</t>
  </si>
  <si>
    <t xml:space="preserve">however, that the loss would only be in the net swap flows, and the escrow fund would still receive </t>
  </si>
  <si>
    <t xml:space="preserve">Governments that affect Sogem and Banque Paribus could impede cash outflows in a variety of </t>
  </si>
  <si>
    <t>ways such as taxing cash leaving these countries.  Such events are not likely, but they are possible.</t>
  </si>
  <si>
    <t>derivatives.   Examples 12-34 beginning in Paragraph 176 on Page 93 illustrate clearly-and-closely-</t>
  </si>
  <si>
    <t xml:space="preserve">related criteria in embedded hybrid derivative instruments.   These criteria determine whether an </t>
  </si>
  <si>
    <t>Swap receivable/payable</t>
  </si>
  <si>
    <t xml:space="preserve">embedded derivative can be accounted for under SFAS 133 rules.  For example, a call option cannot </t>
  </si>
  <si>
    <t>IPMT Formula</t>
  </si>
  <si>
    <t>Period =</t>
  </si>
  <si>
    <t>PPMT Formula</t>
  </si>
  <si>
    <t>Principal Reduction =</t>
  </si>
  <si>
    <t>PMT Formula</t>
  </si>
  <si>
    <t>PV=$251,000,000</t>
  </si>
  <si>
    <t>R=.1148/12 per month</t>
  </si>
  <si>
    <t>N=38 months</t>
  </si>
  <si>
    <t>Monthly Loan Payment =</t>
  </si>
  <si>
    <t>Computation Check</t>
  </si>
  <si>
    <t>Interest + Principal =</t>
  </si>
  <si>
    <t xml:space="preserve">interest rate that equates to 0.95667% per month.   Also limit your answer to the contract to loan </t>
  </si>
  <si>
    <t xml:space="preserve">and the return of surplus funds to Mexcobre.  Assume that the loan principal is amortized over 38 </t>
  </si>
  <si>
    <t xml:space="preserve"> bank at 0.95667%.  In other words, each net swap payment from the Banque Paribus is to be </t>
  </si>
  <si>
    <t xml:space="preserve"> from Banque Paribus.  Any surplus is then sent to Mexcobre each month.</t>
  </si>
  <si>
    <t xml:space="preserve">4.  the monthly net copper swap receipts or payments from Bank Paibus on January 31, </t>
  </si>
  <si>
    <t>5. the first three loan payments (principal and interest) from the escrow fund to the New</t>
  </si>
  <si>
    <t xml:space="preserve"> York bank on January 31, February 28, and March 31, 19x1;</t>
  </si>
  <si>
    <t>interest expense, principal reduction, and total loan payment each month that is deducted from</t>
  </si>
  <si>
    <t>If Banque Paribus at some future point in time wants to hedge its copper price exposure, it can seek</t>
  </si>
  <si>
    <t>Note receivable - Mexcobre</t>
  </si>
  <si>
    <t>-To record the loan to Mexcobre</t>
  </si>
  <si>
    <t>Accounts payable - Mexcobre</t>
  </si>
  <si>
    <t>Interest expense/revenue</t>
  </si>
  <si>
    <t>Interest Revenue =</t>
  </si>
  <si>
    <t>Notes receivable - Mexcobre</t>
  </si>
  <si>
    <t xml:space="preserve">          Net cash from Sogem and Bank Paribus =</t>
  </si>
  <si>
    <t>Amount owed to Mexcobre =</t>
  </si>
  <si>
    <t>-To record cash settlement with Mexcobre</t>
  </si>
  <si>
    <t xml:space="preserve">The HTML version of this case can be found at </t>
  </si>
  <si>
    <t>fixed rate interest payment that equates to 0.9567% per month.</t>
  </si>
  <si>
    <t xml:space="preserve">The contract with Mexcobre capped the return of the New York banks to 0.9567% per month.  Any   </t>
  </si>
  <si>
    <t xml:space="preserve">Compute and compare the rate of return to the New York bank in Question 10 for each of the first three months.  </t>
  </si>
  <si>
    <t>Compare this with the rate of return that would be obtained each month if the surplus funds were not returned to</t>
  </si>
  <si>
    <t>of cash flows above the 0.9567% per month cap.</t>
  </si>
  <si>
    <t>Graph 4:  Change in retained earnings assuming no return of excess cash</t>
  </si>
  <si>
    <t>At the end of your answers to Question 9, discuss whether this copper price swap was effective in terms of SFAS 133 criteria for hedge effectiveness. Explain your answer.</t>
  </si>
  <si>
    <t>Next perform similar calculations assuming no copper price swap.  In order to simplify the calculation of the rate</t>
  </si>
  <si>
    <t>of  return  with no copper price swap, compute each month's rate of return as the ratio of that month's net income</t>
  </si>
  <si>
    <t>Assuming</t>
  </si>
  <si>
    <t>a 0.9567%</t>
  </si>
  <si>
    <t>Cap</t>
  </si>
  <si>
    <t>No Interest</t>
  </si>
  <si>
    <t>?</t>
  </si>
  <si>
    <t>price movements are hedged, the surplus funds returned to Mexcobre are $90,334 every month.  If it</t>
  </si>
  <si>
    <t>Comment:  If there is no copper price swap and no interest rate cap, the New York bank has taken on a pure speculation</t>
  </si>
  <si>
    <t xml:space="preserve">Source:  This is an extension of a real world copper swap reported by Paul B. Spraos  in "The Anatomy of a  </t>
  </si>
  <si>
    <t>Please use the following Chart of Accounts in your journal entries:</t>
  </si>
  <si>
    <t>Go to Sheet 3 to view the $251 loan amortization schedule ----&gt;</t>
  </si>
  <si>
    <t>-Copper cash settlement from Sogem in Belgium</t>
  </si>
  <si>
    <t>-Net swap cash payment from Banque Paribus</t>
  </si>
  <si>
    <t>Change in Balance</t>
  </si>
  <si>
    <t>Question 11</t>
  </si>
  <si>
    <t>Question 12</t>
  </si>
  <si>
    <t>compute each month's rate of return as the ratio of that month's net income from the Mexcobre</t>
  </si>
  <si>
    <t xml:space="preserve">transactions divided by the beginning balance of the note's principal still outstanding.  You are to </t>
  </si>
  <si>
    <t>Question 13</t>
  </si>
  <si>
    <t>From an accounting theory standpoint, do you think SFAS 133 accounting for the Mexcobre</t>
  </si>
  <si>
    <t>transactions would help investors more easily analyze the risk management practices of the</t>
  </si>
  <si>
    <t>of the returns among the ten banks actually involved in the transaction.)</t>
  </si>
  <si>
    <t>=</t>
  </si>
  <si>
    <t xml:space="preserve">can never do worse than receive 0.9567% monthly return on the note with Mexcobre.  When copper </t>
  </si>
  <si>
    <t>prices are at or below $2,000 per ton, the return will be 0.9567%.  When copper spot prices rise above</t>
  </si>
  <si>
    <t>Bob Jensen's Answers to Question 10</t>
  </si>
  <si>
    <t>No swap to record</t>
  </si>
  <si>
    <t xml:space="preserve">  </t>
  </si>
  <si>
    <t>No swap payment to record</t>
  </si>
  <si>
    <t>-There is no swap with Banque Paribus</t>
  </si>
  <si>
    <t>The bank had a copper price speculation loss in January since the $1,850 copper price fell</t>
  </si>
  <si>
    <t>$7,909,666 according to the loan amortization schedule in Sheet 3.  Hence the break even</t>
  </si>
  <si>
    <t>copper price is $7,909,666/4000 = $1,977.42 per ton.</t>
  </si>
  <si>
    <t>on copper prices above $1,977.42 per ton since all surplus funds are returned to Mexcobre.</t>
  </si>
  <si>
    <t>below the $1,977.42 breakeven price per ton.</t>
  </si>
  <si>
    <t>If surplus funds are returned to Mexcobre, the copper prices of $2,100 in February and $2,400</t>
  </si>
  <si>
    <t>Loss/gain on copper price speculation</t>
  </si>
  <si>
    <t>Question 12, please add OCI increments to the numerator of the rate of return calculations.</t>
  </si>
  <si>
    <t>the numerator of the rate of return calculations when surplus funds are not returned to Mexcobre.  For</t>
  </si>
  <si>
    <t>A major question here is whether to include the increments to Other Comprehensive Income (OCI) in</t>
  </si>
  <si>
    <t>Current</t>
  </si>
  <si>
    <t>Swap</t>
  </si>
  <si>
    <t>Net</t>
  </si>
  <si>
    <t>Copper</t>
  </si>
  <si>
    <t>Assumed</t>
  </si>
  <si>
    <t>Receivable</t>
  </si>
  <si>
    <t>Price</t>
  </si>
  <si>
    <t>Month</t>
  </si>
  <si>
    <t>Price/ton</t>
  </si>
  <si>
    <t xml:space="preserve">Credit risk is relatively high, but there is almost always credit risk in foreign loans.  An important </t>
  </si>
  <si>
    <t>consideration in any foreign loan is legal jurisdiction.  If Mexcobre has the funds and simply decides to</t>
  </si>
  <si>
    <t>payment deal through Sogem in Belgium.  Mexcobre is not likely to stop selling copper to</t>
  </si>
  <si>
    <t>There is always the risk that Mexcobre will stop shipping copper to Sogem in Belgium.  This is the</t>
  </si>
  <si>
    <t>easiest way to default on the $251 million loan.  However, producers are not inclined to sacrifice their</t>
  </si>
  <si>
    <t>terms in U.S. dollars rather than Mexican pesos.  Interest rate risk is always unknown, but if the U.S.</t>
  </si>
  <si>
    <t>dependent upon a variable interest rate.</t>
  </si>
  <si>
    <t xml:space="preserve">banks are happy with the level of fixed interest rates, they are not subject to cash flows being </t>
  </si>
  <si>
    <t>restrictions on interest payments from Mexcobre to the U.S. banks.  This one incident may not</t>
  </si>
  <si>
    <t>trigger a retaliation move, but if Mexico's banks and governments begin to lose billions of dollars in</t>
  </si>
  <si>
    <t>loans transferred outside of Mexico, there may be political pressures to curb the outflow.</t>
  </si>
  <si>
    <t xml:space="preserve">impede the mining and sale of copper.  However, the government might impede loan cash flows.  For </t>
  </si>
  <si>
    <t xml:space="preserve">example, suppose the Mexican government chooses to  tax or otherwise impede interest payments </t>
  </si>
  <si>
    <t xml:space="preserve">going to  the ten banks outside of Mexico in an effort to protect its own loans to Mexican companies. </t>
  </si>
  <si>
    <t>The ten outside banks hedged against such political risk by avoiding cash payments from Mexico. This</t>
  </si>
  <si>
    <t>copper price swap with Banque Paribus.  These calculations are required in a later question below.</t>
  </si>
  <si>
    <t>the initial loan, however, bear the underlying risk that Mexcobre will be able to ship at least 4,000</t>
  </si>
  <si>
    <t>best customers and antagonize their labor unions.  Of course disasters such</t>
  </si>
  <si>
    <t>as earthquakes, hurricanes, floods, civil strive, labor strife, etc. could cause shipping disruptions.</t>
  </si>
  <si>
    <t>a counterswap or resort to some other types of derivatives such as forwards, futures, or options on</t>
  </si>
  <si>
    <t>copper prices.  Banque Paribus can also enter into reversing swaps.</t>
  </si>
  <si>
    <t>the variable spot rate cash flows from Sogem.  One advantage of a swap is that the entire "notional"</t>
  </si>
  <si>
    <t>contract apart from its host contract.  Relevant sections of SFAS 133 include SFAS 133 Paragraphs</t>
  </si>
  <si>
    <t>304-311 in Pages 150-153 and again in Paragraphs 443-450. The closely-related criterion is illustrated</t>
  </si>
  <si>
    <t xml:space="preserve">be an embedded derivative if it is clearly-and-closely-related to a hybrid instrument that is clearly an </t>
  </si>
  <si>
    <t>($7,400,000 - $5,508,432)/$251,000,000 rate of return for January</t>
  </si>
  <si>
    <t>($8,400,000 - $5,561,666)/$245,491,568 rate of return for February</t>
  </si>
  <si>
    <t xml:space="preserve">Accounts Payable - Mexcobre. When that payable is zeroed out each month, debit the payable and credit </t>
  </si>
  <si>
    <t xml:space="preserve">In Question 10 when cash is received from Banque Paribus, debit Cash and credit Accounts Payable - Mexcobre. </t>
  </si>
  <si>
    <t>This is not an issue in Question 12 since there is no copper price swap with Banque Paribus in Question 12.</t>
  </si>
  <si>
    <r>
      <t>Hint: </t>
    </r>
    <r>
      <rPr>
        <sz val="10"/>
        <rFont val="Arial"/>
        <family val="0"/>
      </rPr>
      <t xml:space="preserve"> In Question 10 and Question 12, when cash is received from Sogem in Belgium, debit Cash and credit </t>
    </r>
  </si>
  <si>
    <t xml:space="preserve">In Question 12, assume that the Notes Receivable - Mexcobre account will always be credited with the loan amortization </t>
  </si>
  <si>
    <t xml:space="preserve">principal reduction from Question 10 no matter what the price of copper on the cash settlement date with Sogem in Belgium. </t>
  </si>
  <si>
    <t>See Sheet 3 for the Question 10 loan amortization schedule.</t>
  </si>
  <si>
    <t xml:space="preserve">clearly-and-closely-related to the host contract and cannot be accounted for separate from its host.  </t>
  </si>
  <si>
    <t>http://www.trinity.edu/rjensen</t>
  </si>
  <si>
    <t>In the above resulting accounting balances, we see that there has been no cash flow</t>
  </si>
  <si>
    <t>hedge ineffectiveness.  There cannot be hedge ineffectiveness since the Banque Paribus</t>
  </si>
  <si>
    <t>30 on Page 21 of SFAS 133, ineffectiveness is to be defined at the time the hedge is undertaken</t>
  </si>
  <si>
    <t xml:space="preserve">19x1?  What is the entry made on January 31, 19x1 by this bank to record the cash payment from </t>
  </si>
  <si>
    <t>Cash Flow</t>
  </si>
  <si>
    <t>In Paragraph 220 on Page 123 of SFAS 133, the FASB asserts that "fair value is the most</t>
  </si>
  <si>
    <t>relevant measure for financial instruments and the only relevant measure for derivative</t>
  </si>
  <si>
    <t>instruments."  In that same paragraph, the FASB claims "derivative instruments should be</t>
  </si>
  <si>
    <t>Case questions and answers are given in Questions apreadsheet.</t>
  </si>
  <si>
    <t>measured at fair value, and adjustments in carrying amounts of hedged items should</t>
  </si>
  <si>
    <t>reflect changes in their fair value (that is, gains or losses) that are attributable to the risk</t>
  </si>
  <si>
    <t>being hedged . . ."</t>
  </si>
  <si>
    <t>The analysis above for the Mexcobre Case vividly illustrates how not entering into a copper</t>
  </si>
  <si>
    <t>price swap would be totally stupid since the New York Bank(s) would only be exposed to losses</t>
  </si>
  <si>
    <t>due to copper price declines below $1,977.42 and would transfer all gains above that</t>
  </si>
  <si>
    <t>into a copper price swap with Banque Paibus.</t>
  </si>
  <si>
    <t xml:space="preserve">In my viewpoint, the Mexcobre Case is a real world example of where SFAS 133 booking </t>
  </si>
  <si>
    <t>of the swap at fair value and adjusting that fair value each month is more misleading than</t>
  </si>
  <si>
    <t>helpful in this instance.  I think there are many instances where following SFAS 133 rules</t>
  </si>
  <si>
    <t xml:space="preserve">leads to better accounting of derivative instruments.  The Mexcobre Case, however, </t>
  </si>
  <si>
    <t>supports the arguments of bankers that applying SFAS 133 is not only difficult, it can be</t>
  </si>
  <si>
    <t>very misleading to investors when there is almost zero probability that the derivative instrument</t>
  </si>
  <si>
    <t xml:space="preserve">(a price swap in this case) will be held to the maturity.  Maturity in this case is assumed to </t>
  </si>
  <si>
    <t>be the same maturity date as the date of maturity on the loan to Mexcobre.</t>
  </si>
  <si>
    <t>for measuring fair value of contracts that are not traded in active markets or are traded in</t>
  </si>
  <si>
    <t>"thin" markets where a sparse number of transactions make market values unreliable as</t>
  </si>
  <si>
    <t>estimates of fair value.  Like interest rate swaps and most other types of swaps, the swap</t>
  </si>
  <si>
    <t>The swap value estimates in Question 7, 10, and 12 are hypothetical and would be extremely</t>
  </si>
  <si>
    <t xml:space="preserve">difficult to estimate in the real world.  Furthermore, the copper price movements around </t>
  </si>
  <si>
    <t>the $1,977.42 breakeven price create flip flops in disclosing the swap as a large receivable</t>
  </si>
  <si>
    <t>versus a large payable.  For example, in January the copper swap is a large payable but</t>
  </si>
  <si>
    <t>becomes a large receivable in February and March.  When prices decline below $1,977.42</t>
  </si>
  <si>
    <t>it will flip flop back to a payable.</t>
  </si>
  <si>
    <t>What is bad for investors is that the flip flopping from being a receivable versus a payable is</t>
  </si>
  <si>
    <t>a signal that the bank(s) may be doing some type of speculating.  In the Mexcobre Case, this</t>
  </si>
  <si>
    <t>could not be further from the truth.  The bank(s) merely entered into a perfectly rational</t>
  </si>
  <si>
    <t>and stable price swap in order to prevent speculation losses and lock in a fixed return of</t>
  </si>
  <si>
    <t xml:space="preserve">11.48% per year on the loan to Mexcobre.  It would be irrational to terminate the swap </t>
  </si>
  <si>
    <t>before the loan terminates.  Hence, the swap is not a trading item and reporting huge flip</t>
  </si>
  <si>
    <t>flops in value can only be misleading.</t>
  </si>
  <si>
    <t xml:space="preserve">In support of the bankers opposed to SFAS 133, reporting the changes in value as current </t>
  </si>
  <si>
    <t>earnings would be totally misleading in the Mexcobre Case.  Disclosing these changes in</t>
  </si>
  <si>
    <t>OCI instead of earnings mitigates this problem, although I have to agree with Professor</t>
  </si>
  <si>
    <t>Rashad Abdel-Khalik that the OCI is merely a "garbage can" in this particular example if</t>
  </si>
  <si>
    <t>SFAS 133 rules are applied.  An example of this same flip flop problem can be found in</t>
  </si>
  <si>
    <t xml:space="preserve">the FASB's own Example 5 beginning at Paragraph 5 on Page 72 of SFAS 133.  </t>
  </si>
  <si>
    <t>As indicated above, I support the SFAS 133 rules for many types of derivative financial</t>
  </si>
  <si>
    <t>instruments.  However, the Mexcobre Case illustrates a real-world set of contracts for which</t>
  </si>
  <si>
    <t>SFAS 133 rules are dysfunctional.  What is more upsetting is that standard setters around the</t>
  </si>
  <si>
    <t>world, including the International Accounting Standards Committee (IASC), are moving toward</t>
  </si>
  <si>
    <t>fair value accounting of all financial instruments with the corresponding changes in value</t>
  </si>
  <si>
    <t xml:space="preserve">being reported in (highly fluctuating) current earnings even for contracts such as the </t>
  </si>
  <si>
    <t>Banque Paibus copper price swap where there is no intention to terminate the swap until</t>
  </si>
  <si>
    <t>the Mexcobre loan terminates.  Fluctuations in earnings due to fluctuations in value of such</t>
  </si>
  <si>
    <t>financial instruments creates a misleading instability in both income statements and balance</t>
  </si>
  <si>
    <t>sheets.  Reporting value changes in OCI is only viewed as a temporary compromise with</t>
  </si>
  <si>
    <t>bankers until the standard setters eventually impose full value accounting in the extreme.</t>
  </si>
  <si>
    <t xml:space="preserve">At the time of this writing, it might be noted that the International Accounting Standards </t>
  </si>
  <si>
    <t xml:space="preserve">Committee (IASC) has its IAS 39 version of SFAS 133.  IAS 39 allows designation </t>
  </si>
  <si>
    <t xml:space="preserve">of derivatives as trading versus nontrading for purposes of fair value measurement.  The </t>
  </si>
  <si>
    <t>SFAS 133 does not allow such a distinction such that IAS 39 leads to better accounting</t>
  </si>
  <si>
    <r>
      <t>The December 1998 issue of the</t>
    </r>
    <r>
      <rPr>
        <b/>
        <i/>
        <sz val="10"/>
        <color indexed="10"/>
        <rFont val="Arial"/>
        <family val="2"/>
      </rPr>
      <t xml:space="preserve"> Journal of Accountancy</t>
    </r>
    <r>
      <rPr>
        <b/>
        <sz val="10"/>
        <color indexed="10"/>
        <rFont val="Arial"/>
        <family val="2"/>
      </rPr>
      <t xml:space="preserve"> provides an interesting contrast </t>
    </r>
  </si>
  <si>
    <t xml:space="preserve">on fair value accounting.  On Pages 12-13 you will find a speech by SEC Chairman Arthur </t>
  </si>
  <si>
    <t xml:space="preserve">Levitt  bemoaning the increasingly common practice of  auditors to allow earnings </t>
  </si>
  <si>
    <t xml:space="preserve">management.  On Page 20 you will find a review of an Eight Circuit Court of Appeals </t>
  </si>
  <si>
    <t>case in which a firm prevented the reporting of net losses for 1988 and 1989 by persuading</t>
  </si>
  <si>
    <t xml:space="preserve"> its auditor to allow reclassification of a large hotel as being "for sale" so that  </t>
  </si>
  <si>
    <t>it could revalue historical cost book value to current exit value and record the gain as</t>
  </si>
  <si>
    <t>current income.  Back issues of the Journal of Accountancy are now online at</t>
  </si>
  <si>
    <t xml:space="preserve">http://www.aicpa.org/pubs/jofa/joaiss.htm  </t>
  </si>
  <si>
    <t>Note that at the time of the above lawsuit, available-for-sale investments were required to</t>
  </si>
  <si>
    <t>be adjusted to fair value with unrealized gains and losses being posted to current earnings.</t>
  </si>
  <si>
    <t>Subsequent to the lawsuit, SFAS 130 created Other Comprehensive Income for keeping</t>
  </si>
  <si>
    <t xml:space="preserve">such unrealized gains and losses out of current income unless the investment is </t>
  </si>
  <si>
    <t>reclassified as a trading investment rather than an available-for-sale investment.</t>
  </si>
  <si>
    <t>The booking of derivative financial instruments at fair values provides management</t>
  </si>
  <si>
    <t xml:space="preserve">with another weapon to manage earnings.  See my more complete comments on </t>
  </si>
  <si>
    <t>this in Sheet 2 of the answer key to this examination.</t>
  </si>
  <si>
    <r>
      <t>compare the solutions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with versus without</t>
    </r>
    <r>
      <rPr>
        <sz val="10"/>
        <rFont val="Arial"/>
        <family val="0"/>
      </rPr>
      <t xml:space="preserve"> transfer of surplus funds to Mexcobre.  In other words, you</t>
    </r>
  </si>
  <si>
    <t xml:space="preserve">must provide two alternative sets of journal entries.  Assume that the surplus funds sent each month </t>
  </si>
  <si>
    <t xml:space="preserve">are either zero (if the copper price declines below the breakeven point) or positive (equal to the surplus </t>
  </si>
  <si>
    <t>Difference</t>
  </si>
  <si>
    <t>Value</t>
  </si>
  <si>
    <t>01/01/x1</t>
  </si>
  <si>
    <t>01/31/x1</t>
  </si>
  <si>
    <t>02/28/x1</t>
  </si>
  <si>
    <t>03/31/x1</t>
  </si>
  <si>
    <t>Journal</t>
  </si>
  <si>
    <t>Entry</t>
  </si>
  <si>
    <t>-To adjust the swap to fair value</t>
  </si>
  <si>
    <t>In Question 7, restrict your entries to cash flows from Sogem and the SFAS 133 entries for the</t>
  </si>
  <si>
    <t xml:space="preserve">copper price swap.  Entries for the Mexcobre note will be made in a later question. </t>
  </si>
  <si>
    <r>
      <t xml:space="preserve">Accounts payable - Mexcobre </t>
    </r>
    <r>
      <rPr>
        <sz val="10"/>
        <color indexed="8"/>
        <rFont val="Arial"/>
        <family val="2"/>
      </rPr>
      <t>(in Question 10, any surplus funds are sent to Mexcobre monthly)</t>
    </r>
  </si>
  <si>
    <t xml:space="preserve">Repeat the January, February, and March answers for Question 10 assuming that there is no copper </t>
  </si>
  <si>
    <t xml:space="preserve">Make all journal entries for the contracts with Mexcobre and Sogem. Assume that the note is </t>
  </si>
  <si>
    <t xml:space="preserve">maintained under amortized historical cost and is not adjusted for fair market value.   Then compare all </t>
  </si>
  <si>
    <t>your journal entries for Question 12 versus Question 10.   Please discuss the impact of the swap on</t>
  </si>
  <si>
    <t xml:space="preserve">the cash payments from Sogem and Banque Paribus in each of the 38 months.  Discuss why the loan </t>
  </si>
  <si>
    <t xml:space="preserve">would probably not be periodically remeasured to market value under SFAS 115 rules.  Why might this </t>
  </si>
  <si>
    <t>not affect having to remeasure the copper price swap to market value on the books of the bank?</t>
  </si>
  <si>
    <t>Under SFAS 115 rules, the loan would probably be classified by the bank as a security</t>
  </si>
  <si>
    <t>investment intended to be "held-to-maturity."  A deal this complicated would be difficult to</t>
  </si>
  <si>
    <t>classify as being "available-for-sale."  In that case, the note receivable is not remeasured</t>
  </si>
  <si>
    <t>to market on the balance sheet.</t>
  </si>
  <si>
    <t xml:space="preserve">Held-to-maturity securities may not be hedged for cash flow risk according to Paragraphs 426-431 </t>
  </si>
  <si>
    <t xml:space="preserve">according to Paragraphs 426-431 beginning on Page 190 of SFAS 133.  The reason is that </t>
  </si>
  <si>
    <t xml:space="preserve">SFAS 133 is intended to hedge price and interest rate risk and not credit risk of loan </t>
  </si>
  <si>
    <t>default.  This is why the deal with Sogem in Belgium could not be accounted for as a cash</t>
  </si>
  <si>
    <t>flow hedge under Paragraph 29e of SFAS 133.   The copper price swap with Banque Paribus,</t>
  </si>
  <si>
    <t xml:space="preserve">Name </t>
  </si>
  <si>
    <t>_________________________________</t>
  </si>
  <si>
    <t>Points</t>
  </si>
  <si>
    <t>Question</t>
  </si>
  <si>
    <t>Earned</t>
  </si>
  <si>
    <t>Possible</t>
  </si>
  <si>
    <t>Number</t>
  </si>
  <si>
    <t>________</t>
  </si>
  <si>
    <t xml:space="preserve">Political Risk, </t>
  </si>
  <si>
    <t>Default Risk (Credit Risk, Natural Disaster Risk, Labor Strife),</t>
  </si>
  <si>
    <t xml:space="preserve">Refinancing Risk if Interest Rates Plunge, </t>
  </si>
  <si>
    <t>Opportunity Loss Risk if Interest Rates Soar</t>
  </si>
  <si>
    <t>Political risk of Mexican taxes and cash outflow restrictions</t>
  </si>
  <si>
    <t xml:space="preserve">With payments at 4,000 tons of copper, the receivable is a </t>
  </si>
  <si>
    <t xml:space="preserve">forecasted transaction and can be hedged with a </t>
  </si>
  <si>
    <t xml:space="preserve">cash flow hedge. </t>
  </si>
  <si>
    <t>Notional = 4,000 tons.  Underlying = copper price.</t>
  </si>
  <si>
    <t>Case mentions no disincentives, but clearly Mexcobre would</t>
  </si>
  <si>
    <t>lose credit standing worldwide if loan is defaulted.</t>
  </si>
  <si>
    <t>See my solution for the discussion of Paragraphs 21d and 29e.</t>
  </si>
  <si>
    <t>Fixed at 11.48% with a swap and an interest rate cap.</t>
  </si>
  <si>
    <t>Variable with no swap</t>
  </si>
  <si>
    <t>Banque Paribus:  Copper price fluctuation risk on 4,000 tons</t>
  </si>
  <si>
    <t>on date of shipment to Sogem</t>
  </si>
  <si>
    <t>Sogem:  Risk of needing less than 4,000 tons in operations</t>
  </si>
  <si>
    <t xml:space="preserve">NY Banks:  </t>
  </si>
  <si>
    <t>Default risk on shipment of the 4,000 tons per month</t>
  </si>
  <si>
    <t>accounting rules?  Is the copper price swap to "clearly and closely related" to the contract with Sogem?</t>
  </si>
  <si>
    <t>whether this constitutes commodity-indexed interest and principal payments in the context of SFAS 133.</t>
  </si>
  <si>
    <t xml:space="preserve">There are provisions in SFAS 133 regarding "clearly-and-closely-related" criteria that </t>
  </si>
  <si>
    <t xml:space="preserve">Hint:  See Paragraph 61i on Page 43 of SFAS 133.]   </t>
  </si>
  <si>
    <t xml:space="preserve">In Question 10 you are to assume that the copper price swap satisfies all SFAS 133 requirements to </t>
  </si>
  <si>
    <t>surplus funds from high copper prices are returned monthly to Mexcobre above and beyond the 11.48%</t>
  </si>
  <si>
    <t>be a cash flow hedge of the cash flows from Sogem in Belgium.   Unlike in Question 7, assume that</t>
  </si>
  <si>
    <t xml:space="preserve">You can read Dr. Abdel-Khalik's "garbage can" comments at   </t>
  </si>
  <si>
    <t>Natural disasters in Mexico</t>
  </si>
  <si>
    <t>Labor strife</t>
  </si>
  <si>
    <t>Political risk that interferes with shipments</t>
  </si>
  <si>
    <t>Case Questions and Bob Jensen's Answers (condensed answers are shown in Sheet 4)</t>
  </si>
  <si>
    <t>Legal jurisdiction risk (in Montana, U.S. legal system applies</t>
  </si>
  <si>
    <t xml:space="preserve"> whereas in Mexico the New York banks must face the</t>
  </si>
  <si>
    <t>Mexican legal system)</t>
  </si>
  <si>
    <t>Risk that Sogem will back out of the contract to accept 4,000</t>
  </si>
  <si>
    <t>tons per month at spot rates.</t>
  </si>
  <si>
    <t>Risk that Bank Paribus will default on the swap contract.</t>
  </si>
  <si>
    <t>He argues that the copper price swap part and parcel to the entire</t>
  </si>
  <si>
    <t>loan contract and is too "clearly-and-closely related"</t>
  </si>
  <si>
    <t>Explain your answer in terms of when it is a fixed-rate loan versus when it is a variable-rate loan.  Also explain</t>
  </si>
  <si>
    <t>to be accounted for separately.</t>
  </si>
  <si>
    <t>With respect to Paragraph 61i of SFAS 133, note that the loan</t>
  </si>
  <si>
    <t>servicing payments are constant at $7,909,666 in the</t>
  </si>
  <si>
    <t>Sheet 3 amortization schedule.  These do not vary</t>
  </si>
  <si>
    <t>with any commodity prices.  Therefore, Paragraph 61i</t>
  </si>
  <si>
    <t>should not block a cash flow hedge that assures each</t>
  </si>
  <si>
    <t>payment.</t>
  </si>
  <si>
    <t xml:space="preserve">With respect to Paragraph 61i of SFAS 133, note that the loan servicing payments are constant at </t>
  </si>
  <si>
    <t xml:space="preserve">$7,909,666 in the Sheet 3 amortization schedule.  These do not vary with any commodity prices.  Therefore, </t>
  </si>
  <si>
    <t>Paragraph 61i should not block a cash flow hedge that assures each payment.</t>
  </si>
  <si>
    <t>See my Sheet 2 answer for Question 7</t>
  </si>
  <si>
    <r>
      <t>Condensed Answer Sheet</t>
    </r>
    <r>
      <rPr>
        <sz val="10"/>
        <color indexed="10"/>
        <rFont val="Arial"/>
        <family val="2"/>
      </rPr>
      <t xml:space="preserve"> (longer answers are given in Sheet 2)</t>
    </r>
  </si>
  <si>
    <t>This Mexcobre Case illustrates a real-world instance where, in my opinion, adjusting derivative instruments to fair</t>
  </si>
  <si>
    <t>the Internet and any reference materials that they choose to use as long as they cite the sources.</t>
  </si>
  <si>
    <t>on the other hand, is not a credit risk swap.  It is an independent derivative contract entered</t>
  </si>
  <si>
    <t>into as a copper price hedge.  As such, I feel that it qualifies to be accounted for as a hedge</t>
  </si>
  <si>
    <t>under SFAS 133 rules.</t>
  </si>
  <si>
    <t>This write up, with both questions and answers was created by Bob Jensen</t>
  </si>
  <si>
    <t>How did Sogem from Belgium eliminate political risk?</t>
  </si>
  <si>
    <t>with fixed rate debt.  The counter party in the swap, on the other hand, may be willing to speculate</t>
  </si>
  <si>
    <t>When applying SFAS 133 rules, use the data shown in the table below:</t>
  </si>
  <si>
    <t>Please use the same account names that are listed in the Chart of Accounts for Question 10.</t>
  </si>
  <si>
    <t>Dennis Beresford and many other accounting professors and practitioners argue that SFAS 133 is too complex for</t>
  </si>
  <si>
    <r>
      <t>financial statement preparers and investors.  One simplification being advocated by Dennis Beresford (</t>
    </r>
    <r>
      <rPr>
        <b/>
        <i/>
        <sz val="10"/>
        <color indexed="17"/>
        <rFont val="Arial"/>
        <family val="2"/>
      </rPr>
      <t>Journal of</t>
    </r>
  </si>
  <si>
    <r>
      <t>Accountancy</t>
    </r>
    <r>
      <rPr>
        <b/>
        <sz val="10"/>
        <color indexed="17"/>
        <rFont val="Arial"/>
        <family val="2"/>
      </rPr>
      <t xml:space="preserve">, March 1999, pp. 65-67), the International Accounting Standards Committee (IASC), and many </t>
    </r>
  </si>
  <si>
    <t>prepare their own schedule, it makes grading more difficult in some of the other questions if they</t>
  </si>
  <si>
    <t>U.S. banks for 8% which, for example, might be the lending rate to a copper mine in Montana?</t>
  </si>
  <si>
    <t>Main conclusions given the note amortization schedule in Sheet 3:</t>
  </si>
  <si>
    <t xml:space="preserve">determine when and when not to treat an embedded derivative as a free standing hedging </t>
  </si>
  <si>
    <t>Loss/Gain on copper price speculation</t>
  </si>
  <si>
    <t>Copper prices in February and March exceeded the $1977.42 breakeven point, but all gains</t>
  </si>
  <si>
    <t>above the breakeven point were transferred out to Mexcobre.</t>
  </si>
  <si>
    <t>to enter into the swap, the bank protects itself from copper price drops below $1,977.42 per ton.</t>
  </si>
  <si>
    <r>
      <t xml:space="preserve">Bob Jensen's Answers to Question 12 When </t>
    </r>
    <r>
      <rPr>
        <b/>
        <sz val="10"/>
        <color indexed="10"/>
        <rFont val="Arial"/>
        <family val="2"/>
      </rPr>
      <t>Surplus Funds Are Not Returned</t>
    </r>
    <r>
      <rPr>
        <b/>
        <sz val="10"/>
        <rFont val="Arial"/>
        <family val="2"/>
      </rPr>
      <t xml:space="preserve"> to Mexcobre</t>
    </r>
  </si>
  <si>
    <r>
      <t xml:space="preserve">Bob Jensen's Answers to Question 12 When </t>
    </r>
    <r>
      <rPr>
        <b/>
        <sz val="10"/>
        <color indexed="10"/>
        <rFont val="Arial"/>
        <family val="2"/>
      </rPr>
      <t>Surplus Funds Are Returned</t>
    </r>
    <r>
      <rPr>
        <b/>
        <sz val="10"/>
        <rFont val="Arial"/>
        <family val="2"/>
      </rPr>
      <t xml:space="preserve"> to Mexcobre</t>
    </r>
  </si>
  <si>
    <r>
      <t>If there are no copper price hedge and no surplus funds</t>
    </r>
    <r>
      <rPr>
        <b/>
        <i/>
        <sz val="10"/>
        <color indexed="10"/>
        <rFont val="Arial"/>
        <family val="2"/>
      </rPr>
      <t xml:space="preserve"> vis-à-vis</t>
    </r>
    <r>
      <rPr>
        <b/>
        <sz val="10"/>
        <color indexed="10"/>
        <rFont val="Arial"/>
        <family val="2"/>
      </rPr>
      <t xml:space="preserve"> the loan amortization, the</t>
    </r>
  </si>
  <si>
    <t>If there is no copper price hedge and no surplus fund returns to Mexcobre, the New York</t>
  </si>
  <si>
    <t xml:space="preserve">will lose if copper prices fall below $1,977.42 and gain if they rise above $1,977.42.  </t>
  </si>
  <si>
    <t>In February and March it had relatively large copper price speculation gains from the</t>
  </si>
  <si>
    <t>high $2,100 and $2,400 prices per ton of copper at the LME spot prices.</t>
  </si>
  <si>
    <t>York bank now has a tough decision to make about whether it wants to speculate in copper</t>
  </si>
  <si>
    <t xml:space="preserve">price movements.  In most instances, banks prefer to avoid such speculations.  However, </t>
  </si>
  <si>
    <t>banks do not always avoid price speculations on such deals.</t>
  </si>
  <si>
    <t xml:space="preserve">As mentioned previously, however, the contract called for return of surplus funds to </t>
  </si>
  <si>
    <t>Mexcobre.  Hence, the decision to hedge copper price movements that could never benefit</t>
  </si>
  <si>
    <t>Question 7 Journal Entries Assuming</t>
  </si>
  <si>
    <t>Surplus Funds Are Not Returned</t>
  </si>
  <si>
    <t>Surplus Funds Are Returned</t>
  </si>
  <si>
    <t>Question 10 Journal Entries Assuming</t>
  </si>
  <si>
    <t>Question 12 Journal Entries Assuming</t>
  </si>
  <si>
    <t xml:space="preserve">equity instrument on a freestanding basis and, thereby, is not subject to SFAS 133 rules.  If a </t>
  </si>
  <si>
    <t xml:space="preserve">On the other hand, if the option is instead based upon a stock price index such as the Standard and </t>
  </si>
  <si>
    <t>swap arrangement, Mexcobre managed to replace its high cost $251 million debt with a 11.48%</t>
  </si>
  <si>
    <t>used to service $251 million loaned to Mexcobre by ten banks.</t>
  </si>
  <si>
    <t>not be sufficient to service the debt on the $251 million in loans to Mexcobre by ten banks.</t>
  </si>
  <si>
    <t>$251 million to Mexican de Cobre (Mexcobre).  Aside from transactions costs in arranging all the</t>
  </si>
  <si>
    <t>You may assume  derivatives not mentioned in this case as well as those mentioned in the case.</t>
  </si>
  <si>
    <t>Sogem in Belgium assumed the risk of importing 4,000 tons of copper no matter what its needs for</t>
  </si>
  <si>
    <t>with by taking on short positions to get rid of the copper (e.g., put options, forward contracts, or</t>
  </si>
  <si>
    <t>that Sogem bore the risk of sending cash payments to New York if the copper was not shipped to</t>
  </si>
  <si>
    <t xml:space="preserve">to swap with for interest on $251 million probably was not feasible. </t>
  </si>
  <si>
    <t>Are the hedged items (i.e., the fixed interest payments on the loan to Mexcobre) firm commitments</t>
  </si>
  <si>
    <t>Risks of loaning $251 million to Mexcobre are somewhat complicated.  Of major concern to the ten lending</t>
  </si>
  <si>
    <t>income from its own loans to Mexcobre.  If this loan was directly replaced by a $251 million dollar</t>
  </si>
  <si>
    <t xml:space="preserve">Discuss the various types of risks faced by the ten banks if they simply loaned $251 million to Mexican </t>
  </si>
  <si>
    <t>stop making payments on the $251 million loan, it is much harder to seek legal recourse in Mexico</t>
  </si>
  <si>
    <t>credit risk on the $251 million loan except in the case where Sogem stops producing copper.</t>
  </si>
  <si>
    <t>contract is not a derivative instrument, then nothing in SFAS 133 pertains to accounting for that contract.</t>
  </si>
  <si>
    <t>the importance of whether "excess" interest revenues are returned to Mexcobre.</t>
  </si>
  <si>
    <t>The loan is a fixed-rate loan at 11.48% interest rate that equates to 0.9567% per month.  However, the</t>
  </si>
  <si>
    <t>tons of copper to Sogem in Belgium each month.</t>
  </si>
  <si>
    <t>futures contracts).  The least risky short position is a purchased call option that does not have to be</t>
  </si>
  <si>
    <t xml:space="preserve">In addition to SFAS 133 standard criteria for cash flow hedges, add an explanation of your position as to </t>
  </si>
  <si>
    <t>Poors 500 Index, the option is no longer clearly-and-closely-related to  the host contract. </t>
  </si>
  <si>
    <t xml:space="preserve">yield is fixed at some (usually low) amount with the speculative prospect of going higher if oil prices </t>
  </si>
  <si>
    <t xml:space="preserve">Repeat the January 31 entries for February 28 and March 31 net cash flows from both the Sogem and </t>
  </si>
  <si>
    <t xml:space="preserve">Please derive the $251 million loan amortization schedule across for a fixed rate of 11.48% APR or a 0.9567% </t>
  </si>
  <si>
    <t>30 on Page 21 of SFAS 133, ineffectiveness is to be defined at the time the hedge is undertaken.</t>
  </si>
  <si>
    <t>The New York Bank declared an effective hedge at the beginning of the hedge.</t>
  </si>
  <si>
    <t>6.  the three monthly surplus payments to Mexcobre in 19x1.</t>
  </si>
  <si>
    <t>In addition, you are to prepare the $251 million loan amortization schedule across 38 months and show the</t>
  </si>
  <si>
    <t>Go to Sheet 3 to view the $251 million loan amortization schedule ----&gt;</t>
  </si>
  <si>
    <t xml:space="preserve">a combination of Interest Revenue, Notes Receivable, and Cash (for the excess cash sent to Mecobre). </t>
  </si>
  <si>
    <t>Rate of Return When Surplus Funds Are Returned to Mecobre (assuming no copper price swap)</t>
  </si>
  <si>
    <t>Rate of Return When Surplus Funds Are Not Returned to Mecobre (assuming no copper price swap)</t>
  </si>
  <si>
    <t>copper price movements beyond the annual fixed 11.48% yield of the Mecobre note, but the yield</t>
  </si>
  <si>
    <t xml:space="preserve">Mexcobre. First assume the copper price swap is in effect and provide the rate of return with or without return </t>
  </si>
  <si>
    <t>from the Mexcobre transactions divided by the beginning balance of the note's principal still outstanding. You are</t>
  </si>
  <si>
    <t>to compare the solutions with versus without transfer of surplus funds to Mexcobre.</t>
  </si>
  <si>
    <t>copper price is $7,909,666/4,000 = $1,977.42 per ton.</t>
  </si>
  <si>
    <t>above the monthly breakeven point).</t>
  </si>
  <si>
    <t>11.48% per year or 0.9567% per month.  Then comment on the impact of varying copper prices when</t>
  </si>
  <si>
    <r>
      <t xml:space="preserve">surplus funds above the breakeven copper price are returned </t>
    </r>
    <r>
      <rPr>
        <b/>
        <sz val="10"/>
        <color indexed="10"/>
        <rFont val="Arial"/>
        <family val="2"/>
      </rPr>
      <t>versus not returned</t>
    </r>
    <r>
      <rPr>
        <sz val="10"/>
        <rFont val="Arial"/>
        <family val="0"/>
      </rPr>
      <t xml:space="preserve"> to Mexcobre.</t>
    </r>
  </si>
  <si>
    <t xml:space="preserve">In other words, all price fluctuations above and below the break-even price of copper affect interest revenue and </t>
  </si>
  <si>
    <t>cash settlements with Mexcobre.  These price fluctuations do not affect the principal reductions on the note.</t>
  </si>
  <si>
    <t>Copper prices in February and March exceeded the $1,977.42 breakeven point, but all gains</t>
  </si>
  <si>
    <t xml:space="preserve">based upon copper price movements.  When copper prices are below the breakeven price of $1,977.42 per ton (computed </t>
  </si>
  <si>
    <t>breakeven point to Mexcobre.   Hence, the bank(s) did the entirely correct thing by entering</t>
  </si>
  <si>
    <t xml:space="preserve">$2,000 per ton, the benefit does not accrue to either the New York Bank or Mexcobre.   Because copper </t>
  </si>
  <si>
    <t>for the Mexcobre case in my opinion if the swap is designated as nontrading under IAS 39.</t>
  </si>
  <si>
    <t>forward contracts, or futures contracts).  The least risky long position would be to purchase a call</t>
  </si>
  <si>
    <t>option for each month that does not have to be exercised.  However, the premiums for such options</t>
  </si>
  <si>
    <t>copper.</t>
  </si>
  <si>
    <t>exercised unless Sogem chooses to use the option to unload unwanted copper.</t>
  </si>
  <si>
    <t>price swap with Banque Paibus.  In order to simplify the calculation of the rate of return in Question 12,</t>
  </si>
  <si>
    <t xml:space="preserve">After all the contracts in this case are signed, what risks have been assumed by both Banque Paribus and Sogem in Belgium? </t>
  </si>
  <si>
    <t xml:space="preserve">make this a costly hedging alternative for an unlikely risk that Mexcobre will not ship the </t>
  </si>
  <si>
    <t>See Sheet 2 for a more complete answer to Question 13</t>
  </si>
  <si>
    <t>The bottom line is that the New York banks have a very secure loan with most risks</t>
  </si>
  <si>
    <t>hedged and near certainty that the note receivable for $251 million will be  held</t>
  </si>
  <si>
    <t>to maturity.   This is a stable and secure investment.  Booking the copper price</t>
  </si>
  <si>
    <t>swap a fair value creates huge fluctuations is assets or liabilities (See the answer</t>
  </si>
  <si>
    <t>to Question 10) that are entirely misleading about assets, liabilities, and risk.</t>
  </si>
  <si>
    <t>In Question 7 and all remaining questions, assume that all ten banks comprise</t>
  </si>
  <si>
    <t>just one bank called the "New York Bank."  This simplifies the accounting.  You</t>
  </si>
  <si>
    <t>may ignore any cash flows owed to the ten banks as separate entities.</t>
  </si>
  <si>
    <t>To close the expense/revenue accounts</t>
  </si>
  <si>
    <t>-To close the expense/revenue accounts</t>
  </si>
  <si>
    <t>Foreign Currency Risk if loan is in pesos</t>
  </si>
  <si>
    <t>In Question 7 and all remaining questions, assume the New York Bank closes its</t>
  </si>
  <si>
    <t>revenue and expense accounts to Retained Earnings at the end of each month.</t>
  </si>
  <si>
    <t>paid a fixed $2,000 price per ton of copper to the New York Bank.  According to Paragraph</t>
  </si>
  <si>
    <t>the New York Bank gets $8,000,000 per month irrespective of copper price movements.</t>
  </si>
  <si>
    <t xml:space="preserve">$251 million, the contract between the New York Bank and Sogem, the contract with Banque Paribus, </t>
  </si>
  <si>
    <t xml:space="preserve">added to the Sogem payment.   At the end of each month, the New York Bank deducts a monthly </t>
  </si>
  <si>
    <t>In summary, you are to make the New York Bank's journal entries for the  following:</t>
  </si>
  <si>
    <t>Comment:  With the price risk of copper hedged with the Banque Paibus swap, the New York Bank</t>
  </si>
  <si>
    <t xml:space="preserve"> the New York Bank.</t>
  </si>
  <si>
    <t>After you finish the journal entries, compute the breakeven price of copper for which the New York Bank will exactly earn its contracted</t>
  </si>
  <si>
    <t>To obtain the contracted return of 11.48% per year, the New York Bank must receive exactly</t>
  </si>
  <si>
    <t>in March do not benefit the New York Bank.   Hence it is pretty obvious that the copper price</t>
  </si>
  <si>
    <t>swap with Banque Paibus is a no-brainer decision for the New York Bank.  For virtually no cost</t>
  </si>
  <si>
    <t>in March do benefit the New York Bank.   However, if surplus funds are not returned, the New</t>
  </si>
  <si>
    <t>the New York Bank is a no-brainer for that bank.</t>
  </si>
  <si>
    <t>under its contracts with Mexcobre and the New York Banks.  Sogem could hedge its risk</t>
  </si>
  <si>
    <t>What is the journal entry made by the New York Bank at the date the swap is initiated on January 1,</t>
  </si>
  <si>
    <t>For this question, assume that the one New York Bank loaned the entire $251 million to Mexcobre.</t>
  </si>
  <si>
    <t>Loss/gain on copper price speculation (use this account only in Questions 7, 8, and 12)</t>
  </si>
  <si>
    <r>
      <t>Interest expense/revenue</t>
    </r>
    <r>
      <rPr>
        <sz val="10"/>
        <color indexed="8"/>
        <rFont val="Arial"/>
        <family val="2"/>
      </rPr>
      <t xml:space="preserve"> (this account is not used in Questions 7 and 8)</t>
    </r>
  </si>
  <si>
    <t>months much like mortgage note amortization in the calculation of loan payments to the New York</t>
  </si>
  <si>
    <t>New York Bank stands to lose on copper prices below $1,977.42 per ton but can never gain</t>
  </si>
  <si>
    <t>The Bank had a copper price speculation loss in January since the $1,850 copper price fell</t>
  </si>
  <si>
    <t>Date</t>
  </si>
  <si>
    <t>Debit</t>
  </si>
  <si>
    <t>Credit</t>
  </si>
  <si>
    <t>19x1</t>
  </si>
  <si>
    <t>Cash</t>
  </si>
  <si>
    <t>Copper price swap receivable/payable</t>
  </si>
  <si>
    <t>-To record the swap with Banque Paribus</t>
  </si>
  <si>
    <t>Other comprehensive income</t>
  </si>
  <si>
    <t>The accounting is similar to that in Example 5 of SFAS 133,  pp. 72-76, Paragraphs 131-138.</t>
  </si>
  <si>
    <t>Please use the following account titles in your journal entries:</t>
  </si>
  <si>
    <t>Retained Earnings</t>
  </si>
  <si>
    <t>Retained earnings</t>
  </si>
  <si>
    <t>Jan. 01</t>
  </si>
  <si>
    <t>Jan. 31</t>
  </si>
  <si>
    <t>Feb. 28</t>
  </si>
  <si>
    <t>Balance</t>
  </si>
  <si>
    <t>Mar. 31</t>
  </si>
  <si>
    <t xml:space="preserve">Sogem in Belgium for 4,000 tons of copper at $1,850 per ton.   Limit your answer to the swap </t>
  </si>
  <si>
    <t xml:space="preserve">accounting and do not attempt to account for loan of $251 million in this question or the return of any </t>
  </si>
  <si>
    <t xml:space="preserve">surplus payments to Mexcobre.   Assume that in the first month, the Banque Paribus honors its swap </t>
  </si>
  <si>
    <t xml:space="preserve">the spot price of  $1,850 per ton for 4,000 tons of copper.  What is the journal entry for the New York </t>
  </si>
  <si>
    <t xml:space="preserve">bank to account for the swap payment?  What are the journal entries for Banque Paribus at the </t>
  </si>
  <si>
    <t xml:space="preserve">inception of the swap on January 1, 19x1 and after the first net swap cash payment on January 31, </t>
  </si>
  <si>
    <t>19x1?</t>
  </si>
  <si>
    <t>excess cash from high copper prices above the capped loan rate were returned to Mexcobre.</t>
  </si>
  <si>
    <t>($8,000,000 - $5,614,331)/$239,877,237 rate of return for March</t>
  </si>
  <si>
    <t>Annual Rate (APR)</t>
  </si>
  <si>
    <t>When there is no copper price swap and an interest rate cap of 0.9567% per month, the New York banks do not benefit</t>
  </si>
  <si>
    <t>from price rises in excess of $1,977 per ton.  They do, however, suffer losses of interest when prices decline.</t>
  </si>
  <si>
    <t xml:space="preserve">based upon copper price movements.  When copper prices are below the breakeven price of $1977.42 per ton (computed </t>
  </si>
  <si>
    <t>in Question 12), the monthly rate of return is less than 0.9567%.  Its return moves higher with increases in copper prices.</t>
  </si>
  <si>
    <t>Of course there is always the possibility that copper deliveries to Sogem could go below 4,000 tons</t>
  </si>
  <si>
    <t>Beginning on January 1, 2001, it is required that all derivative financial instruments be adjusted at least quarterly</t>
  </si>
  <si>
    <t xml:space="preserve"> to fair value under SFAS 133 issued by the Financial Accounting Standards Board (FASB) in the United States </t>
  </si>
  <si>
    <t xml:space="preserve">and IAS 39 issued by the International Accounting Standards Committee (IASC).  These two standards are precursors </t>
  </si>
  <si>
    <t xml:space="preserve">to stated intents of the FASB and the IASC to require that all financial instruments be marked-to-market in </t>
  </si>
  <si>
    <t xml:space="preserve">accounting statements.  This is an enormous departure from traditional historical cost accounting.  The two main </t>
  </si>
  <si>
    <t>objectives of this case are as follows:</t>
  </si>
  <si>
    <t>--To demonstrate to how adjusting many financial instruments to fair value can be more misleading than historical cost.</t>
  </si>
  <si>
    <t>-- To challenge students to try to implement SFAS 133 rules in a rather complex and real-world set of international transactions.</t>
  </si>
  <si>
    <t>per month in the unlikely events of Mexican earthquakes, volcanoes, civil disorder, labor strikes, etc.</t>
  </si>
  <si>
    <t xml:space="preserve">his presentation at the Tenth Asian-Pacific Conference on International Accounting Issues, </t>
  </si>
  <si>
    <t>Maui, October 26, 1998.</t>
  </si>
  <si>
    <t>Case Questions and Bob Jensen's Answers</t>
  </si>
  <si>
    <t xml:space="preserve">the main concerns was that the Mexican government may be upset about losing its 23% interest </t>
  </si>
  <si>
    <t xml:space="preserve">loan from ten U.S. banks, the Mexican Government might retaliate by imposing taxes or other </t>
  </si>
  <si>
    <t xml:space="preserve">The case discusses the importance of reducing political risk in Mexico.  Since so much labor is involved       </t>
  </si>
  <si>
    <t>Explain your answer.</t>
  </si>
  <si>
    <t xml:space="preserve">in the case.  Discuss both direct and indirect risks.  Do not assume any Sogem or Banque Paribus </t>
  </si>
  <si>
    <t>hedging when answering this question.</t>
  </si>
  <si>
    <t>[Hint:  See the term "risk" in Bob Jensen's SFAS 133 Glossary at http://www.trinity.edu/rjensen/133glosf.htm  ]</t>
  </si>
  <si>
    <t>Possible political risks are also discussed in Question 2 and in the case itself.</t>
  </si>
  <si>
    <t>are discussed in SFAS 133, Pages 184-186. Other risks are mentioned in Paragraph 408.</t>
  </si>
  <si>
    <t>Aside from the political risk discussed in Question 2, a direct loan to Mexcobre is like most any foreign</t>
  </si>
  <si>
    <t>fixed-rate loan.  Foreign currency risk could be passed on to Mexcobre by writing the payment</t>
  </si>
  <si>
    <t>There are indirect interest rate risks in most any fixed-rate loan.  If market interest rates plunge too</t>
  </si>
  <si>
    <t>with the New York banks.  The ability to refinance depends upon the contract clauses and prepayment</t>
  </si>
  <si>
    <t>penalties.  If interest rates soar, any fixed-rate income has an opportunity loss.  The ten banks</t>
  </si>
  <si>
    <t>could possibly make an interest rate swap to hedge against higher interest rates, but finding someone</t>
  </si>
  <si>
    <t>For the New York banks, there would be a risk that Mexcobre could not get enough copper sales</t>
  </si>
  <si>
    <t xml:space="preserve">to meet the cash flow needs to service a direct loan from the New York banks.  Disasters such </t>
  </si>
  <si>
    <t>as earthquakes, hurricanes, floods, civil strive, labor strife, etc. could cause production disruptions.</t>
  </si>
  <si>
    <t>on each loan payment.</t>
  </si>
  <si>
    <t>or forecasted transactions?  Answer in terms of the notional, underlying, and disincentive for nonperformance</t>
  </si>
  <si>
    <t>banks was termed "political risk."  This can encompass a wide variety of risks.  I suspect that one of</t>
  </si>
  <si>
    <t>Now consider a fixed rate direct loan to Mexcobre without Sogem's political hedge.  The notional on</t>
  </si>
  <si>
    <t>such a loan is $251 million.  The underlying is 11.48% APR.  Disincentives for nonperformance are</t>
  </si>
  <si>
    <t>The Question 11 answers are repeated below:</t>
  </si>
  <si>
    <r>
      <t>Rate of Return With vs Without Return of Funds in Excess of Cap</t>
    </r>
    <r>
      <rPr>
        <b/>
        <sz val="10"/>
        <color indexed="10"/>
        <rFont val="Arial"/>
        <family val="2"/>
      </rPr>
      <t xml:space="preserve"> (assuming a copper price swap)</t>
    </r>
  </si>
  <si>
    <t>not mentioned since the banks would not make the loan without Sogem's political hedge.  It is safe</t>
  </si>
  <si>
    <t xml:space="preserve">to assume, however, that there would be strong disincentives if political risk was not hedged.  In </t>
  </si>
  <si>
    <t>that case the loan repayments would meet the tests of being firm commitments rather than forecasted</t>
  </si>
  <si>
    <t xml:space="preserve">transactions. </t>
  </si>
  <si>
    <t>Only when the political risk was hedged with Sogem did the firm commitment become transformed</t>
  </si>
  <si>
    <t>P&amp;L</t>
  </si>
  <si>
    <t>Journal Entries Assuming</t>
  </si>
  <si>
    <t>-To record the copper price swap payment</t>
  </si>
  <si>
    <t>-To record loan to Mexcobre</t>
  </si>
  <si>
    <t>Other comprehensive income (OCI)</t>
  </si>
  <si>
    <t>Accounts payable --- Mexcobre</t>
  </si>
  <si>
    <t>-To record payment to Mexcobre</t>
  </si>
  <si>
    <t>Month 1</t>
  </si>
  <si>
    <t>Month 2</t>
  </si>
  <si>
    <t>Month 38</t>
  </si>
  <si>
    <t>03/31/x4</t>
  </si>
  <si>
    <t>into a forecasted transaction.   With the Sogem contract, the underlying becomes variable based upon</t>
  </si>
  <si>
    <t>the LME spot rate of copper.</t>
  </si>
  <si>
    <t>Without the Sogem hedge of political risk, the loan repayments are firm commitments rather than</t>
  </si>
  <si>
    <t xml:space="preserve">forecasted transactions.  As such, Paragraph 29e is not relevant.  However, Paragraph 21d is one of </t>
  </si>
  <si>
    <t>of the criteria to be satisfied for a fair value hedge (cash flow hedges are not permitted for firm</t>
  </si>
  <si>
    <t>commitments).  Paragraph 21d reads as follows:</t>
  </si>
  <si>
    <t xml:space="preserve">What implications does this have for the note being a hedged item under Paragraph 21d or 29e </t>
  </si>
  <si>
    <t>If the hedged item is all or a portion of a debt security (or a portfolio of similar debt securities) that is</t>
  </si>
  <si>
    <t xml:space="preserve">fair value attributable to changes in the obligor's creditworthiness or if the hedged item is an option </t>
  </si>
  <si>
    <t>component of a held-to- maturity security that permits its prepayment, the designated risk being hedged</t>
  </si>
  <si>
    <t xml:space="preserve">held-to-maturity security may not be the risk of changes in its fair value attributable to changes in market </t>
  </si>
  <si>
    <t>interest rates or foreign exchange rates. If the hedged item is other than an option component that permits</t>
  </si>
  <si>
    <t>classified as held-to-maturity in accordance with FASB Statement No. 115, Accounting for Certain</t>
  </si>
  <si>
    <t xml:space="preserve">Investments in Debt and Equity Securities, the designated risk being hedged is the risk of changes in its </t>
  </si>
  <si>
    <t xml:space="preserve">is the risk of changes in the entire fair value of that option component. (The designated hedged risk for a </t>
  </si>
  <si>
    <t>its prepayment, the designated hedged risk also may not be the risk of changes in its overall fair value.)</t>
  </si>
  <si>
    <t>It is probably safe to assume that the Mexcobre note will be classified as held-to-maturity.  It is also</t>
  </si>
  <si>
    <t xml:space="preserve">a fair value hedge since the main intent of the hedge is to hedge the "risk of changes it its fair </t>
  </si>
  <si>
    <t xml:space="preserve">value attributable to changes in the obligor's creditworthiness."  However, the case makes no </t>
  </si>
  <si>
    <t>mention of the banks wanting to hedge fair value.  The purpose of the Sogem hedge is, in my</t>
  </si>
  <si>
    <t>viewpoint is to hedge the interest payments from Mexcobre.  This is an economic hedge, but it</t>
  </si>
  <si>
    <t>cannot be accounted for as a cash flow hedge under SFAS 133 (since the hedged item is a firm</t>
  </si>
  <si>
    <t>commitment).  Without a cash flow hedge or foreign currency risk, the Sogem in Belgium hedge</t>
  </si>
  <si>
    <t>could never affect Other Comprehensive Income (OCI) under SFAS 133.</t>
  </si>
  <si>
    <t>The above reasoning does not apply to the copper price swap with the Banque of Paribus.  However,</t>
  </si>
  <si>
    <t>Question 2 does not pertain to that swap.</t>
  </si>
  <si>
    <t>of SFAS 133?  Can the Sogem hedge affect Other Comprehensive Income (OCI)?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</si>
</sst>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000_);\(0.000000\)"/>
    <numFmt numFmtId="166" formatCode="&quot;$&quot;#,##0.000_);[Red]\(&quot;$&quot;#,##0.000\)"/>
    <numFmt numFmtId="167" formatCode="&quot;$&quot;#,##0.0_);[Red]\(&quot;$&quot;#,##0.0\)"/>
    <numFmt numFmtId="168" formatCode="&quot;$&quot;#,##0.00;[Red]&quot;$&quot;#,##0.00"/>
    <numFmt numFmtId="169" formatCode="&quot;$&quot;#,##0.0;[Red]&quot;$&quot;#,##0.0"/>
    <numFmt numFmtId="170" formatCode="&quot;$&quot;#,##0;[Red]&quot;$&quot;#,##0"/>
    <numFmt numFmtId="171" formatCode="0.000%"/>
    <numFmt numFmtId="172" formatCode="0.0000%"/>
    <numFmt numFmtId="173" formatCode="0.0"/>
    <numFmt numFmtId="174" formatCode="0.00000_);\(0.00000\)"/>
    <numFmt numFmtId="175" formatCode="0.0000_);\(0.0000\)"/>
    <numFmt numFmtId="176" formatCode="0.000_);\(0.000\)"/>
    <numFmt numFmtId="177" formatCode="0.00_);\(0.00\)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7"/>
      <name val="Arial"/>
      <family val="2"/>
    </font>
    <font>
      <b/>
      <sz val="12.5"/>
      <name val="Arial"/>
      <family val="2"/>
    </font>
    <font>
      <sz val="12"/>
      <name val="Arial"/>
      <family val="0"/>
    </font>
    <font>
      <b/>
      <sz val="8.5"/>
      <name val="Arial"/>
      <family val="2"/>
    </font>
    <font>
      <b/>
      <sz val="8.5"/>
      <color indexed="17"/>
      <name val="Arial"/>
      <family val="2"/>
    </font>
    <font>
      <b/>
      <sz val="8.5"/>
      <color indexed="12"/>
      <name val="Arial"/>
      <family val="2"/>
    </font>
    <font>
      <b/>
      <sz val="8.5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name val="Arial"/>
      <family val="2"/>
    </font>
    <font>
      <b/>
      <sz val="10.5"/>
      <color indexed="17"/>
      <name val="Arial"/>
      <family val="2"/>
    </font>
    <font>
      <b/>
      <sz val="10.5"/>
      <color indexed="12"/>
      <name val="Arial"/>
      <family val="2"/>
    </font>
    <font>
      <b/>
      <sz val="10.5"/>
      <color indexed="10"/>
      <name val="Arial"/>
      <family val="2"/>
    </font>
    <font>
      <b/>
      <sz val="11.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wrapText="1" indent="5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0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10" fillId="0" borderId="6" xfId="0" applyFont="1" applyBorder="1" applyAlignment="1">
      <alignment horizontal="center"/>
    </xf>
    <xf numFmtId="0" fontId="0" fillId="0" borderId="1" xfId="0" applyBorder="1" applyAlignment="1">
      <alignment/>
    </xf>
    <xf numFmtId="0" fontId="10" fillId="0" borderId="7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 quotePrefix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16" fontId="10" fillId="0" borderId="5" xfId="0" applyNumberFormat="1" applyFont="1" applyBorder="1" applyAlignment="1">
      <alignment horizontal="center"/>
    </xf>
    <xf numFmtId="16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14" xfId="0" applyBorder="1" applyAlignment="1">
      <alignment/>
    </xf>
    <xf numFmtId="0" fontId="10" fillId="0" borderId="15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7" xfId="0" applyFont="1" applyBorder="1" applyAlignment="1">
      <alignment horizontal="center"/>
    </xf>
    <xf numFmtId="6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Border="1" applyAlignment="1" quotePrefix="1">
      <alignment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2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10" fillId="0" borderId="0" xfId="0" applyFont="1" applyAlignment="1">
      <alignment horizontal="right"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/>
    </xf>
    <xf numFmtId="6" fontId="2" fillId="0" borderId="0" xfId="0" applyNumberFormat="1" applyFont="1" applyAlignment="1">
      <alignment horizontal="right"/>
    </xf>
    <xf numFmtId="6" fontId="10" fillId="0" borderId="5" xfId="0" applyNumberFormat="1" applyFont="1" applyBorder="1" applyAlignment="1">
      <alignment horizontal="center"/>
    </xf>
    <xf numFmtId="6" fontId="4" fillId="0" borderId="7" xfId="0" applyNumberFormat="1" applyFont="1" applyBorder="1" applyAlignment="1">
      <alignment horizontal="center"/>
    </xf>
    <xf numFmtId="6" fontId="16" fillId="0" borderId="6" xfId="0" applyNumberFormat="1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0" fillId="0" borderId="11" xfId="0" applyFont="1" applyBorder="1" applyAlignment="1">
      <alignment/>
    </xf>
    <xf numFmtId="38" fontId="2" fillId="0" borderId="5" xfId="0" applyNumberFormat="1" applyFont="1" applyBorder="1" applyAlignment="1">
      <alignment horizontal="center"/>
    </xf>
    <xf numFmtId="38" fontId="2" fillId="0" borderId="7" xfId="0" applyNumberFormat="1" applyFont="1" applyBorder="1" applyAlignment="1">
      <alignment horizontal="center"/>
    </xf>
    <xf numFmtId="6" fontId="2" fillId="0" borderId="7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6" fontId="23" fillId="0" borderId="0" xfId="0" applyNumberFormat="1" applyFont="1" applyBorder="1" applyAlignment="1">
      <alignment horizontal="center"/>
    </xf>
    <xf numFmtId="6" fontId="2" fillId="0" borderId="16" xfId="0" applyNumberFormat="1" applyFont="1" applyBorder="1" applyAlignment="1">
      <alignment horizontal="center"/>
    </xf>
    <xf numFmtId="6" fontId="2" fillId="0" borderId="17" xfId="0" applyNumberFormat="1" applyFont="1" applyBorder="1" applyAlignment="1">
      <alignment horizontal="center"/>
    </xf>
    <xf numFmtId="6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 quotePrefix="1">
      <alignment/>
    </xf>
    <xf numFmtId="0" fontId="10" fillId="0" borderId="20" xfId="0" applyFont="1" applyBorder="1" applyAlignment="1">
      <alignment/>
    </xf>
    <xf numFmtId="0" fontId="24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38" fontId="10" fillId="0" borderId="6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38" fontId="10" fillId="0" borderId="7" xfId="0" applyNumberFormat="1" applyFont="1" applyBorder="1" applyAlignment="1">
      <alignment horizontal="center"/>
    </xf>
    <xf numFmtId="6" fontId="25" fillId="0" borderId="5" xfId="0" applyNumberFormat="1" applyFont="1" applyBorder="1" applyAlignment="1">
      <alignment horizontal="center"/>
    </xf>
    <xf numFmtId="6" fontId="26" fillId="0" borderId="7" xfId="0" applyNumberFormat="1" applyFont="1" applyBorder="1" applyAlignment="1">
      <alignment horizontal="center"/>
    </xf>
    <xf numFmtId="6" fontId="27" fillId="0" borderId="6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6" fontId="25" fillId="0" borderId="0" xfId="0" applyNumberFormat="1" applyFont="1" applyBorder="1" applyAlignment="1">
      <alignment horizontal="center"/>
    </xf>
    <xf numFmtId="6" fontId="28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38" fontId="2" fillId="0" borderId="0" xfId="0" applyNumberFormat="1" applyFont="1" applyBorder="1" applyAlignment="1">
      <alignment horizontal="center"/>
    </xf>
    <xf numFmtId="0" fontId="2" fillId="0" borderId="22" xfId="0" applyFont="1" applyBorder="1" applyAlignment="1" quotePrefix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6" xfId="0" applyFont="1" applyBorder="1" applyAlignment="1">
      <alignment/>
    </xf>
    <xf numFmtId="6" fontId="2" fillId="0" borderId="12" xfId="0" applyNumberFormat="1" applyFont="1" applyBorder="1" applyAlignment="1">
      <alignment horizontal="center"/>
    </xf>
    <xf numFmtId="38" fontId="2" fillId="0" borderId="6" xfId="0" applyNumberFormat="1" applyFont="1" applyBorder="1" applyAlignment="1">
      <alignment horizontal="center"/>
    </xf>
    <xf numFmtId="38" fontId="2" fillId="0" borderId="12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172" fontId="10" fillId="0" borderId="0" xfId="0" applyNumberFormat="1" applyFont="1" applyAlignment="1">
      <alignment/>
    </xf>
    <xf numFmtId="0" fontId="10" fillId="0" borderId="20" xfId="0" applyFont="1" applyBorder="1" applyAlignment="1" quotePrefix="1">
      <alignment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23" xfId="0" applyFont="1" applyBorder="1" applyAlignment="1">
      <alignment/>
    </xf>
    <xf numFmtId="0" fontId="10" fillId="0" borderId="23" xfId="0" applyFont="1" applyBorder="1" applyAlignment="1">
      <alignment horizontal="left"/>
    </xf>
    <xf numFmtId="0" fontId="0" fillId="0" borderId="24" xfId="0" applyBorder="1" applyAlignment="1">
      <alignment/>
    </xf>
    <xf numFmtId="0" fontId="24" fillId="0" borderId="0" xfId="0" applyFont="1" applyAlignment="1">
      <alignment horizontal="left"/>
    </xf>
    <xf numFmtId="164" fontId="0" fillId="0" borderId="25" xfId="0" applyNumberFormat="1" applyBorder="1" applyAlignment="1">
      <alignment/>
    </xf>
    <xf numFmtId="165" fontId="2" fillId="0" borderId="25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0" fillId="0" borderId="26" xfId="0" applyNumberFormat="1" applyBorder="1" applyAlignment="1">
      <alignment/>
    </xf>
    <xf numFmtId="165" fontId="2" fillId="0" borderId="26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164" fontId="0" fillId="2" borderId="26" xfId="0" applyNumberFormat="1" applyFont="1" applyFill="1" applyBorder="1" applyAlignment="1">
      <alignment horizontal="center"/>
    </xf>
    <xf numFmtId="172" fontId="2" fillId="2" borderId="26" xfId="0" applyNumberFormat="1" applyFont="1" applyFill="1" applyBorder="1" applyAlignment="1">
      <alignment horizontal="center"/>
    </xf>
    <xf numFmtId="172" fontId="2" fillId="2" borderId="25" xfId="0" applyNumberFormat="1" applyFont="1" applyFill="1" applyBorder="1" applyAlignment="1">
      <alignment horizontal="center"/>
    </xf>
    <xf numFmtId="164" fontId="0" fillId="3" borderId="26" xfId="0" applyNumberFormat="1" applyFont="1" applyFill="1" applyBorder="1" applyAlignment="1">
      <alignment horizontal="center"/>
    </xf>
    <xf numFmtId="6" fontId="2" fillId="3" borderId="26" xfId="0" applyNumberFormat="1" applyFont="1" applyFill="1" applyBorder="1" applyAlignment="1">
      <alignment horizontal="center"/>
    </xf>
    <xf numFmtId="164" fontId="0" fillId="4" borderId="26" xfId="0" applyNumberFormat="1" applyFont="1" applyFill="1" applyBorder="1" applyAlignment="1">
      <alignment horizontal="center"/>
    </xf>
    <xf numFmtId="6" fontId="2" fillId="4" borderId="26" xfId="0" applyNumberFormat="1" applyFont="1" applyFill="1" applyBorder="1" applyAlignment="1">
      <alignment horizontal="center"/>
    </xf>
    <xf numFmtId="164" fontId="0" fillId="5" borderId="26" xfId="0" applyNumberFormat="1" applyFont="1" applyFill="1" applyBorder="1" applyAlignment="1">
      <alignment horizontal="center"/>
    </xf>
    <xf numFmtId="6" fontId="2" fillId="5" borderId="26" xfId="0" applyNumberFormat="1" applyFont="1" applyFill="1" applyBorder="1" applyAlignment="1">
      <alignment horizontal="center"/>
    </xf>
    <xf numFmtId="164" fontId="0" fillId="6" borderId="26" xfId="0" applyNumberFormat="1" applyFont="1" applyFill="1" applyBorder="1" applyAlignment="1">
      <alignment horizontal="center"/>
    </xf>
    <xf numFmtId="6" fontId="2" fillId="6" borderId="26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38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5" fontId="2" fillId="3" borderId="26" xfId="0" applyNumberFormat="1" applyFont="1" applyFill="1" applyBorder="1" applyAlignment="1">
      <alignment horizontal="center"/>
    </xf>
    <xf numFmtId="5" fontId="2" fillId="4" borderId="26" xfId="0" applyNumberFormat="1" applyFont="1" applyFill="1" applyBorder="1" applyAlignment="1">
      <alignment horizontal="center"/>
    </xf>
    <xf numFmtId="5" fontId="2" fillId="5" borderId="26" xfId="0" applyNumberFormat="1" applyFont="1" applyFill="1" applyBorder="1" applyAlignment="1">
      <alignment horizontal="center"/>
    </xf>
    <xf numFmtId="5" fontId="0" fillId="2" borderId="26" xfId="0" applyNumberFormat="1" applyFont="1" applyFill="1" applyBorder="1" applyAlignment="1">
      <alignment horizontal="center"/>
    </xf>
    <xf numFmtId="164" fontId="0" fillId="2" borderId="25" xfId="0" applyNumberFormat="1" applyFont="1" applyFill="1" applyBorder="1" applyAlignment="1">
      <alignment horizontal="center"/>
    </xf>
    <xf numFmtId="165" fontId="0" fillId="2" borderId="25" xfId="0" applyNumberFormat="1" applyFont="1" applyFill="1" applyBorder="1" applyAlignment="1">
      <alignment horizontal="center"/>
    </xf>
    <xf numFmtId="6" fontId="0" fillId="2" borderId="25" xfId="0" applyNumberFormat="1" applyFont="1" applyFill="1" applyBorder="1" applyAlignment="1">
      <alignment horizontal="center"/>
    </xf>
    <xf numFmtId="164" fontId="0" fillId="7" borderId="27" xfId="0" applyNumberFormat="1" applyFont="1" applyFill="1" applyBorder="1" applyAlignment="1">
      <alignment horizontal="center"/>
    </xf>
    <xf numFmtId="6" fontId="2" fillId="7" borderId="27" xfId="0" applyNumberFormat="1" applyFont="1" applyFill="1" applyBorder="1" applyAlignment="1">
      <alignment horizontal="center"/>
    </xf>
    <xf numFmtId="0" fontId="30" fillId="0" borderId="0" xfId="20" applyFont="1" applyAlignment="1">
      <alignment/>
    </xf>
    <xf numFmtId="0" fontId="3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172" fontId="10" fillId="0" borderId="0" xfId="0" applyNumberFormat="1" applyFont="1" applyAlignment="1">
      <alignment horizontal="center"/>
    </xf>
    <xf numFmtId="1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8" fontId="10" fillId="0" borderId="28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6" fontId="26" fillId="0" borderId="6" xfId="0" applyNumberFormat="1" applyFont="1" applyBorder="1" applyAlignment="1">
      <alignment horizontal="center"/>
    </xf>
    <xf numFmtId="6" fontId="27" fillId="0" borderId="5" xfId="0" applyNumberFormat="1" applyFont="1" applyBorder="1" applyAlignment="1">
      <alignment horizontal="center"/>
    </xf>
    <xf numFmtId="6" fontId="27" fillId="0" borderId="6" xfId="0" applyNumberFormat="1" applyFont="1" applyBorder="1" applyAlignment="1" quotePrefix="1">
      <alignment horizontal="center"/>
    </xf>
    <xf numFmtId="172" fontId="10" fillId="0" borderId="28" xfId="0" applyNumberFormat="1" applyFont="1" applyBorder="1" applyAlignment="1">
      <alignment horizontal="center"/>
    </xf>
    <xf numFmtId="172" fontId="10" fillId="0" borderId="0" xfId="0" applyNumberFormat="1" applyFont="1" applyAlignment="1">
      <alignment horizontal="left" inden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6" fontId="27" fillId="0" borderId="0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0" fillId="0" borderId="0" xfId="0" applyAlignment="1" quotePrefix="1">
      <alignment horizontal="left" indent="1"/>
    </xf>
    <xf numFmtId="0" fontId="10" fillId="0" borderId="29" xfId="0" applyFont="1" applyBorder="1" applyAlignment="1">
      <alignment/>
    </xf>
    <xf numFmtId="0" fontId="2" fillId="0" borderId="30" xfId="0" applyFont="1" applyBorder="1" applyAlignment="1">
      <alignment/>
    </xf>
    <xf numFmtId="172" fontId="2" fillId="0" borderId="0" xfId="0" applyNumberFormat="1" applyFont="1" applyAlignment="1">
      <alignment horizontal="right"/>
    </xf>
    <xf numFmtId="6" fontId="10" fillId="0" borderId="5" xfId="0" applyNumberFormat="1" applyFont="1" applyBorder="1" applyAlignment="1">
      <alignment horizontal="right"/>
    </xf>
    <xf numFmtId="6" fontId="4" fillId="0" borderId="7" xfId="0" applyNumberFormat="1" applyFont="1" applyBorder="1" applyAlignment="1">
      <alignment horizontal="right"/>
    </xf>
    <xf numFmtId="6" fontId="16" fillId="0" borderId="6" xfId="0" applyNumberFormat="1" applyFont="1" applyBorder="1" applyAlignment="1">
      <alignment horizontal="right"/>
    </xf>
    <xf numFmtId="6" fontId="23" fillId="0" borderId="0" xfId="0" applyNumberFormat="1" applyFont="1" applyBorder="1" applyAlignment="1">
      <alignment horizontal="right"/>
    </xf>
    <xf numFmtId="6" fontId="2" fillId="0" borderId="17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4" xfId="0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38" fontId="2" fillId="0" borderId="5" xfId="0" applyNumberFormat="1" applyFont="1" applyBorder="1" applyAlignment="1">
      <alignment horizontal="right"/>
    </xf>
    <xf numFmtId="38" fontId="2" fillId="0" borderId="7" xfId="0" applyNumberFormat="1" applyFont="1" applyBorder="1" applyAlignment="1">
      <alignment horizontal="right"/>
    </xf>
    <xf numFmtId="38" fontId="2" fillId="0" borderId="29" xfId="0" applyNumberFormat="1" applyFont="1" applyBorder="1" applyAlignment="1">
      <alignment horizontal="right"/>
    </xf>
    <xf numFmtId="38" fontId="10" fillId="0" borderId="6" xfId="0" applyNumberFormat="1" applyFont="1" applyBorder="1" applyAlignment="1">
      <alignment horizontal="right"/>
    </xf>
    <xf numFmtId="38" fontId="10" fillId="0" borderId="0" xfId="0" applyNumberFormat="1" applyFont="1" applyBorder="1" applyAlignment="1">
      <alignment horizontal="right"/>
    </xf>
    <xf numFmtId="0" fontId="10" fillId="0" borderId="31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30" xfId="0" applyFont="1" applyBorder="1" applyAlignment="1">
      <alignment horizontal="center"/>
    </xf>
    <xf numFmtId="16" fontId="4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38" fontId="4" fillId="0" borderId="7" xfId="0" applyNumberFormat="1" applyFont="1" applyBorder="1" applyAlignment="1">
      <alignment horizontal="right"/>
    </xf>
    <xf numFmtId="6" fontId="4" fillId="0" borderId="0" xfId="0" applyNumberFormat="1" applyFont="1" applyAlignment="1">
      <alignment horizontal="center"/>
    </xf>
    <xf numFmtId="0" fontId="4" fillId="0" borderId="7" xfId="0" applyFont="1" applyBorder="1" applyAlignment="1">
      <alignment/>
    </xf>
    <xf numFmtId="0" fontId="4" fillId="0" borderId="30" xfId="0" applyFont="1" applyBorder="1" applyAlignment="1" quotePrefix="1">
      <alignment/>
    </xf>
    <xf numFmtId="0" fontId="4" fillId="0" borderId="11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 quotePrefix="1">
      <alignment/>
    </xf>
    <xf numFmtId="37" fontId="4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Mexcobre $251 Million Loan Amortization</a:t>
            </a:r>
          </a:p>
        </c:rich>
      </c:tx>
      <c:layout>
        <c:manualLayout>
          <c:xMode val="factor"/>
          <c:yMode val="factor"/>
          <c:x val="0.07925"/>
          <c:y val="0.07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875"/>
          <c:w val="0.9555"/>
          <c:h val="0.77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Journal!$C$13:$AN$13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Journal!$C$14:$AN$14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Journal!$C$15:$AN$15</c:f>
              <c:numCache/>
            </c:numRef>
          </c:val>
          <c:smooth val="0"/>
        </c:ser>
        <c:axId val="3461797"/>
        <c:axId val="31156174"/>
      </c:lineChart>
      <c:catAx>
        <c:axId val="3461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56174"/>
        <c:crosses val="autoZero"/>
        <c:auto val="1"/>
        <c:lblOffset val="100"/>
        <c:noMultiLvlLbl val="0"/>
      </c:catAx>
      <c:valAx>
        <c:axId val="31156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17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1:  Assuming a Copper Price Swap and 
Return of Excess Cash</a:t>
            </a:r>
          </a:p>
        </c:rich>
      </c:tx>
      <c:layout>
        <c:manualLayout>
          <c:xMode val="factor"/>
          <c:yMode val="factor"/>
          <c:x val="0.0485"/>
          <c:y val="0.09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34525"/>
          <c:w val="0.97825"/>
          <c:h val="0.62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#REF!</c:f>
              <c:strCache>
                <c:ptCount val="3"/>
                <c:pt idx="0">
                  <c:v>Jan. 31</c:v>
                </c:pt>
                <c:pt idx="1">
                  <c:v>Feb. 28</c:v>
                </c:pt>
                <c:pt idx="2">
                  <c:v>Mar. 31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7909666</c:v>
                </c:pt>
                <c:pt idx="1">
                  <c:v>7909666</c:v>
                </c:pt>
                <c:pt idx="2">
                  <c:v>7909666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3"/>
                <c:pt idx="0">
                  <c:v>Jan. 31</c:v>
                </c:pt>
                <c:pt idx="1">
                  <c:v>Feb. 28</c:v>
                </c:pt>
                <c:pt idx="2">
                  <c:v>Mar. 31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16942276.439911563</c:v>
                </c:pt>
                <c:pt idx="1">
                  <c:v>-28006550.164251726</c:v>
                </c:pt>
                <c:pt idx="2">
                  <c:v>-32256677.596480906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3"/>
                <c:pt idx="0">
                  <c:v>Jan. 31</c:v>
                </c:pt>
                <c:pt idx="1">
                  <c:v>Feb. 28</c:v>
                </c:pt>
                <c:pt idx="2">
                  <c:v>Mar. 31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-2401233.33333333</c:v>
                </c:pt>
                <c:pt idx="1">
                  <c:v>-2348535.99726476</c:v>
                </c:pt>
                <c:pt idx="2">
                  <c:v>-2295334.52334779</c:v>
                </c:pt>
              </c:numCache>
            </c:numRef>
          </c:val>
          <c:smooth val="0"/>
        </c:ser>
        <c:marker val="1"/>
        <c:axId val="11970111"/>
        <c:axId val="40622136"/>
      </c:lineChart>
      <c:catAx>
        <c:axId val="11970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22136"/>
        <c:crosses val="autoZero"/>
        <c:auto val="1"/>
        <c:lblOffset val="100"/>
        <c:noMultiLvlLbl val="0"/>
      </c:catAx>
      <c:valAx>
        <c:axId val="40622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701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Graph 2:  Assuming a Copper Price Swap and
 No Return of Excess Cash</a:t>
            </a:r>
          </a:p>
        </c:rich>
      </c:tx>
      <c:layout>
        <c:manualLayout>
          <c:xMode val="factor"/>
          <c:yMode val="factor"/>
          <c:x val="0.085"/>
          <c:y val="0.06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33675"/>
          <c:w val="0.9775"/>
          <c:h val="0.6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#REF!</c:f>
              <c:strCache>
                <c:ptCount val="3"/>
                <c:pt idx="0">
                  <c:v>Jan. 31</c:v>
                </c:pt>
                <c:pt idx="1">
                  <c:v>Feb. 28</c:v>
                </c:pt>
                <c:pt idx="2">
                  <c:v>Mar. 31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7909666</c:v>
                </c:pt>
                <c:pt idx="1">
                  <c:v>7909666</c:v>
                </c:pt>
                <c:pt idx="2">
                  <c:v>7909666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3"/>
                <c:pt idx="0">
                  <c:v>Jan. 31</c:v>
                </c:pt>
                <c:pt idx="1">
                  <c:v>Feb. 28</c:v>
                </c:pt>
                <c:pt idx="2">
                  <c:v>Mar. 31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16942276.439911563</c:v>
                </c:pt>
                <c:pt idx="1">
                  <c:v>-28006550.164251726</c:v>
                </c:pt>
                <c:pt idx="2">
                  <c:v>-32256677.596480906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3"/>
                <c:pt idx="0">
                  <c:v>Jan. 31</c:v>
                </c:pt>
                <c:pt idx="1">
                  <c:v>Feb. 28</c:v>
                </c:pt>
                <c:pt idx="2">
                  <c:v>Mar. 31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-2401233.33333333</c:v>
                </c:pt>
                <c:pt idx="1">
                  <c:v>-2348535.99726476</c:v>
                </c:pt>
                <c:pt idx="2">
                  <c:v>-2295334.52334779</c:v>
                </c:pt>
              </c:numCache>
            </c:numRef>
          </c:val>
          <c:smooth val="0"/>
        </c:ser>
        <c:marker val="1"/>
        <c:axId val="30054905"/>
        <c:axId val="2058690"/>
      </c:lineChart>
      <c:catAx>
        <c:axId val="30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8690"/>
        <c:crosses val="autoZero"/>
        <c:auto val="1"/>
        <c:lblOffset val="100"/>
        <c:noMultiLvlLbl val="0"/>
      </c:catAx>
      <c:valAx>
        <c:axId val="2058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549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3:  Change in Retained Earnings 
Assuming a Return of Excess Cash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3"/>
                <c:pt idx="0">
                  <c:v>Jan. 31</c:v>
                </c:pt>
                <c:pt idx="1">
                  <c:v>Feb. 28</c:v>
                </c:pt>
                <c:pt idx="2">
                  <c:v>Mar. 31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-2401233.33333333</c:v>
                </c:pt>
                <c:pt idx="1">
                  <c:v>-2348535.99726476</c:v>
                </c:pt>
                <c:pt idx="2">
                  <c:v>-2295334.52334779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2"/>
            <c:spPr>
              <a:ln w="38100">
                <a:solidFill>
                  <a:srgbClr val="008000"/>
                </a:solidFill>
              </a:ln>
            </c:spPr>
            <c:marker>
              <c:size val="8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cat>
            <c:strRef>
              <c:f>#REF!</c:f>
              <c:strCache>
                <c:ptCount val="3"/>
                <c:pt idx="0">
                  <c:v>Jan. 31</c:v>
                </c:pt>
                <c:pt idx="1">
                  <c:v>Feb. 28</c:v>
                </c:pt>
                <c:pt idx="2">
                  <c:v>Mar. 31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-1891568</c:v>
                </c:pt>
                <c:pt idx="1">
                  <c:v>-2748536</c:v>
                </c:pt>
                <c:pt idx="2">
                  <c:v>-3895335</c:v>
                </c:pt>
              </c:numCache>
            </c:numRef>
          </c:val>
          <c:smooth val="0"/>
        </c:ser>
        <c:marker val="1"/>
        <c:axId val="18528211"/>
        <c:axId val="32536172"/>
      </c:lineChart>
      <c:catAx>
        <c:axId val="185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36172"/>
        <c:crosses val="autoZero"/>
        <c:auto val="1"/>
        <c:lblOffset val="100"/>
        <c:noMultiLvlLbl val="0"/>
      </c:catAx>
      <c:valAx>
        <c:axId val="32536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2821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4:  Change in Retained Earnings 
Assuming No Return of Excess Cash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Jan. 31</c:v>
                </c:pt>
                <c:pt idx="1">
                  <c:v>Feb. 28</c:v>
                </c:pt>
                <c:pt idx="2">
                  <c:v>Mar. 31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-2491577.33333333</c:v>
                </c:pt>
                <c:pt idx="1">
                  <c:v>-2438879.99726476</c:v>
                </c:pt>
                <c:pt idx="2">
                  <c:v>-2385678.52334779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#REF!</c:f>
              <c:strCache>
                <c:ptCount val="3"/>
                <c:pt idx="0">
                  <c:v>Jan. 31</c:v>
                </c:pt>
                <c:pt idx="1">
                  <c:v>Feb. 28</c:v>
                </c:pt>
                <c:pt idx="2">
                  <c:v>Mar. 31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-1891568</c:v>
                </c:pt>
                <c:pt idx="1">
                  <c:v>-2838870</c:v>
                </c:pt>
                <c:pt idx="2">
                  <c:v>-3985669</c:v>
                </c:pt>
              </c:numCache>
            </c:numRef>
          </c:val>
          <c:smooth val="0"/>
        </c:ser>
        <c:marker val="1"/>
        <c:axId val="24390093"/>
        <c:axId val="18184246"/>
      </c:lineChart>
      <c:catAx>
        <c:axId val="2439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84246"/>
        <c:crosses val="autoZero"/>
        <c:auto val="1"/>
        <c:lblOffset val="100"/>
        <c:noMultiLvlLbl val="0"/>
      </c:catAx>
      <c:valAx>
        <c:axId val="18184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90093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Relationship Id="rId4" Type="http://schemas.openxmlformats.org/officeDocument/2006/relationships/image" Target="../media/image2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65</xdr:row>
      <xdr:rowOff>0</xdr:rowOff>
    </xdr:from>
    <xdr:to>
      <xdr:col>5</xdr:col>
      <xdr:colOff>590550</xdr:colOff>
      <xdr:row>78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820400"/>
          <a:ext cx="3028950" cy="2152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8</xdr:col>
      <xdr:colOff>219075</xdr:colOff>
      <xdr:row>103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5192375"/>
          <a:ext cx="4800600" cy="1895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8</xdr:col>
      <xdr:colOff>57150</xdr:colOff>
      <xdr:row>127</xdr:row>
      <xdr:rowOff>133350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7983200"/>
          <a:ext cx="4638675" cy="304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133350</xdr:colOff>
      <xdr:row>65</xdr:row>
      <xdr:rowOff>123825</xdr:rowOff>
    </xdr:from>
    <xdr:to>
      <xdr:col>5</xdr:col>
      <xdr:colOff>457200</xdr:colOff>
      <xdr:row>77</xdr:row>
      <xdr:rowOff>66675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2950" y="10944225"/>
          <a:ext cx="2762250" cy="1885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92</xdr:row>
      <xdr:rowOff>66675</xdr:rowOff>
    </xdr:from>
    <xdr:to>
      <xdr:col>8</xdr:col>
      <xdr:colOff>66675</xdr:colOff>
      <xdr:row>102</xdr:row>
      <xdr:rowOff>104775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" y="15259050"/>
          <a:ext cx="4543425" cy="1657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142875</xdr:colOff>
      <xdr:row>109</xdr:row>
      <xdr:rowOff>85725</xdr:rowOff>
    </xdr:from>
    <xdr:to>
      <xdr:col>7</xdr:col>
      <xdr:colOff>457200</xdr:colOff>
      <xdr:row>127</xdr:row>
      <xdr:rowOff>9525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18068925"/>
          <a:ext cx="4286250" cy="2838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0.3525</cdr:x>
      <cdr:y>0.26</cdr:y>
    </cdr:from>
    <cdr:to>
      <cdr:x>0.78475</cdr:x>
      <cdr:y>0.324</cdr:y>
    </cdr:to>
    <cdr:sp>
      <cdr:nvSpPr>
        <cdr:cNvPr id="1" name="TextBox 1"/>
        <cdr:cNvSpPr txBox="1">
          <a:spLocks noChangeArrowheads="1"/>
        </cdr:cNvSpPr>
      </cdr:nvSpPr>
      <cdr:spPr>
        <a:xfrm>
          <a:off x="1533525" y="695325"/>
          <a:ext cx="1885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Monthly Total Payment</a:t>
          </a:r>
        </a:p>
      </cdr:txBody>
    </cdr:sp>
  </cdr:relSizeAnchor>
  <cdr:relSizeAnchor xmlns:cdr="http://schemas.openxmlformats.org/drawingml/2006/chartDrawing">
    <cdr:from>
      <cdr:x>0.442</cdr:x>
      <cdr:y>0.48625</cdr:y>
    </cdr:from>
    <cdr:to>
      <cdr:x>0.96825</cdr:x>
      <cdr:y>0.55025</cdr:y>
    </cdr:to>
    <cdr:sp>
      <cdr:nvSpPr>
        <cdr:cNvPr id="2" name="TextBox 2"/>
        <cdr:cNvSpPr txBox="1">
          <a:spLocks noChangeArrowheads="1"/>
        </cdr:cNvSpPr>
      </cdr:nvSpPr>
      <cdr:spPr>
        <a:xfrm>
          <a:off x="1924050" y="1295400"/>
          <a:ext cx="2295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Monthly Reduction in Principal</a:t>
          </a:r>
        </a:p>
      </cdr:txBody>
    </cdr:sp>
  </cdr:relSizeAnchor>
  <cdr:relSizeAnchor xmlns:cdr="http://schemas.openxmlformats.org/drawingml/2006/chartDrawing">
    <cdr:from>
      <cdr:x>0.45475</cdr:x>
      <cdr:y>0.65475</cdr:y>
    </cdr:from>
    <cdr:to>
      <cdr:x>0.981</cdr:x>
      <cdr:y>0.71875</cdr:y>
    </cdr:to>
    <cdr:sp>
      <cdr:nvSpPr>
        <cdr:cNvPr id="3" name="TextBox 3"/>
        <cdr:cNvSpPr txBox="1">
          <a:spLocks noChangeArrowheads="1"/>
        </cdr:cNvSpPr>
      </cdr:nvSpPr>
      <cdr:spPr>
        <a:xfrm>
          <a:off x="1981200" y="1743075"/>
          <a:ext cx="2295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Monthly Reduction Interest Expanse</a:t>
          </a:r>
        </a:p>
      </cdr:txBody>
    </cdr:sp>
  </cdr:relSizeAnchor>
  <cdr:relSizeAnchor xmlns:cdr="http://schemas.openxmlformats.org/drawingml/2006/chartDrawing">
    <cdr:from>
      <cdr:x>0.0005</cdr:x>
      <cdr:y>0.896</cdr:y>
    </cdr:from>
    <cdr:to>
      <cdr:x>0.43275</cdr:x>
      <cdr:y>0.96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390775"/>
          <a:ext cx="1885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Month of Payment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20</xdr:row>
      <xdr:rowOff>0</xdr:rowOff>
    </xdr:from>
    <xdr:to>
      <xdr:col>4</xdr:col>
      <xdr:colOff>723900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257175" y="3448050"/>
        <a:ext cx="43624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0.41225</cdr:x>
      <cdr:y>0.39525</cdr:y>
    </cdr:from>
    <cdr:to>
      <cdr:x>0.41225</cdr:x>
      <cdr:y>0.39525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962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Monthly Increment to Cash</a:t>
          </a:r>
        </a:p>
      </cdr:txBody>
    </cdr:sp>
  </cdr:relSizeAnchor>
  <cdr:relSizeAnchor xmlns:cdr="http://schemas.openxmlformats.org/drawingml/2006/chartDrawing">
    <cdr:from>
      <cdr:x>0.24425</cdr:x>
      <cdr:y>0.8585</cdr:y>
    </cdr:from>
    <cdr:to>
      <cdr:x>0.24425</cdr:x>
      <cdr:y>0.8585</cdr:y>
    </cdr:to>
    <cdr:sp>
      <cdr:nvSpPr>
        <cdr:cNvPr id="2" name="TextBox 2"/>
        <cdr:cNvSpPr txBox="1">
          <a:spLocks noChangeArrowheads="1"/>
        </cdr:cNvSpPr>
      </cdr:nvSpPr>
      <cdr:spPr>
        <a:xfrm>
          <a:off x="1409700" y="2095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Monthly Increment to Swap Receivable/Payable</a:t>
          </a:r>
        </a:p>
      </cdr:txBody>
    </cdr:sp>
  </cdr:relSizeAnchor>
  <cdr:relSizeAnchor xmlns:cdr="http://schemas.openxmlformats.org/drawingml/2006/chartDrawing">
    <cdr:from>
      <cdr:x>0.3365</cdr:x>
      <cdr:y>0.50775</cdr:y>
    </cdr:from>
    <cdr:to>
      <cdr:x>0.3365</cdr:x>
      <cdr:y>0.50775</cdr:y>
    </cdr:to>
    <cdr:sp>
      <cdr:nvSpPr>
        <cdr:cNvPr id="3" name="TextBox 3"/>
        <cdr:cNvSpPr txBox="1">
          <a:spLocks noChangeArrowheads="1"/>
        </cdr:cNvSpPr>
      </cdr:nvSpPr>
      <cdr:spPr>
        <a:xfrm>
          <a:off x="1943100" y="1238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Monthly Increment to Retained Earnings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</cdr:x>
      <cdr:y>0.3855</cdr:y>
    </cdr:from>
    <cdr:to>
      <cdr:x>0.32</cdr:x>
      <cdr:y>0.3855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942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Monthly Increment to Cash</a:t>
          </a:r>
        </a:p>
      </cdr:txBody>
    </cdr:sp>
  </cdr:relSizeAnchor>
  <cdr:relSizeAnchor xmlns:cdr="http://schemas.openxmlformats.org/drawingml/2006/chartDrawing">
    <cdr:from>
      <cdr:x>0.1355</cdr:x>
      <cdr:y>0.84675</cdr:y>
    </cdr:from>
    <cdr:to>
      <cdr:x>0.1355</cdr:x>
      <cdr:y>0.84675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2076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Monthly Increment to Swap Receivable/Payable</a:t>
          </a:r>
        </a:p>
      </cdr:txBody>
    </cdr:sp>
  </cdr:relSizeAnchor>
  <cdr:relSizeAnchor xmlns:cdr="http://schemas.openxmlformats.org/drawingml/2006/chartDrawing">
    <cdr:from>
      <cdr:x>0.23125</cdr:x>
      <cdr:y>0.4975</cdr:y>
    </cdr:from>
    <cdr:to>
      <cdr:x>0.23125</cdr:x>
      <cdr:y>0.4975</cdr:y>
    </cdr:to>
    <cdr:sp>
      <cdr:nvSpPr>
        <cdr:cNvPr id="3" name="TextBox 3"/>
        <cdr:cNvSpPr txBox="1">
          <a:spLocks noChangeArrowheads="1"/>
        </cdr:cNvSpPr>
      </cdr:nvSpPr>
      <cdr:spPr>
        <a:xfrm>
          <a:off x="1276350" y="1219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Monthly Increment to Retained Earnings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0.34375</cdr:x>
      <cdr:y>0.69525</cdr:y>
    </cdr:from>
    <cdr:to>
      <cdr:x>0.34375</cdr:x>
      <cdr:y>0.69525</cdr:y>
    </cdr:to>
    <cdr:sp>
      <cdr:nvSpPr>
        <cdr:cNvPr id="1" name="TextBox 1"/>
        <cdr:cNvSpPr txBox="1">
          <a:spLocks noChangeArrowheads="1"/>
        </cdr:cNvSpPr>
      </cdr:nvSpPr>
      <cdr:spPr>
        <a:xfrm>
          <a:off x="1733550" y="1733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Without a copper price swap</a:t>
          </a:r>
        </a:p>
      </cdr:txBody>
    </cdr:sp>
  </cdr:relSizeAnchor>
  <cdr:relSizeAnchor xmlns:cdr="http://schemas.openxmlformats.org/drawingml/2006/chartDrawing">
    <cdr:from>
      <cdr:x>0.41425</cdr:x>
      <cdr:y>0.49425</cdr:y>
    </cdr:from>
    <cdr:to>
      <cdr:x>0.41425</cdr:x>
      <cdr:y>0.49425</cdr:y>
    </cdr:to>
    <cdr:sp>
      <cdr:nvSpPr>
        <cdr:cNvPr id="2" name="TextBox 2"/>
        <cdr:cNvSpPr txBox="1">
          <a:spLocks noChangeArrowheads="1"/>
        </cdr:cNvSpPr>
      </cdr:nvSpPr>
      <cdr:spPr>
        <a:xfrm>
          <a:off x="2085975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With a copper price swap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</cdr:x>
      <cdr:y>0.4765</cdr:y>
    </cdr:from>
    <cdr:to>
      <cdr:x>0.394</cdr:x>
      <cdr:y>0.4765</cdr:y>
    </cdr:to>
    <cdr:sp>
      <cdr:nvSpPr>
        <cdr:cNvPr id="1" name="TextBox 1"/>
        <cdr:cNvSpPr txBox="1">
          <a:spLocks noChangeArrowheads="1"/>
        </cdr:cNvSpPr>
      </cdr:nvSpPr>
      <cdr:spPr>
        <a:xfrm>
          <a:off x="1962150" y="1238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With a copper price swap</a:t>
          </a:r>
        </a:p>
      </cdr:txBody>
    </cdr:sp>
  </cdr:relSizeAnchor>
  <cdr:relSizeAnchor xmlns:cdr="http://schemas.openxmlformats.org/drawingml/2006/chartDrawing">
    <cdr:from>
      <cdr:x>0.3325</cdr:x>
      <cdr:y>0.7085</cdr:y>
    </cdr:from>
    <cdr:to>
      <cdr:x>0.3325</cdr:x>
      <cdr:y>0.7085</cdr:y>
    </cdr:to>
    <cdr:sp>
      <cdr:nvSpPr>
        <cdr:cNvPr id="2" name="TextBox 2"/>
        <cdr:cNvSpPr txBox="1">
          <a:spLocks noChangeArrowheads="1"/>
        </cdr:cNvSpPr>
      </cdr:nvSpPr>
      <cdr:spPr>
        <a:xfrm>
          <a:off x="1657350" y="1838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With no copper price swap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455</xdr:row>
      <xdr:rowOff>133350</xdr:rowOff>
    </xdr:from>
    <xdr:to>
      <xdr:col>8</xdr:col>
      <xdr:colOff>457200</xdr:colOff>
      <xdr:row>470</xdr:row>
      <xdr:rowOff>152400</xdr:rowOff>
    </xdr:to>
    <xdr:graphicFrame>
      <xdr:nvGraphicFramePr>
        <xdr:cNvPr id="1" name="Chart 1"/>
        <xdr:cNvGraphicFramePr/>
      </xdr:nvGraphicFramePr>
      <xdr:xfrm>
        <a:off x="95250" y="74371200"/>
        <a:ext cx="57912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477</xdr:row>
      <xdr:rowOff>123825</xdr:rowOff>
    </xdr:from>
    <xdr:to>
      <xdr:col>8</xdr:col>
      <xdr:colOff>257175</xdr:colOff>
      <xdr:row>492</xdr:row>
      <xdr:rowOff>152400</xdr:rowOff>
    </xdr:to>
    <xdr:graphicFrame>
      <xdr:nvGraphicFramePr>
        <xdr:cNvPr id="2" name="Chart 13"/>
        <xdr:cNvGraphicFramePr/>
      </xdr:nvGraphicFramePr>
      <xdr:xfrm>
        <a:off x="133350" y="77924025"/>
        <a:ext cx="55530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505</xdr:row>
      <xdr:rowOff>19050</xdr:rowOff>
    </xdr:from>
    <xdr:to>
      <xdr:col>8</xdr:col>
      <xdr:colOff>133350</xdr:colOff>
      <xdr:row>520</xdr:row>
      <xdr:rowOff>85725</xdr:rowOff>
    </xdr:to>
    <xdr:graphicFrame>
      <xdr:nvGraphicFramePr>
        <xdr:cNvPr id="3" name="Chart 14"/>
        <xdr:cNvGraphicFramePr/>
      </xdr:nvGraphicFramePr>
      <xdr:xfrm>
        <a:off x="514350" y="82353150"/>
        <a:ext cx="50482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76200</xdr:colOff>
      <xdr:row>526</xdr:row>
      <xdr:rowOff>95250</xdr:rowOff>
    </xdr:from>
    <xdr:to>
      <xdr:col>8</xdr:col>
      <xdr:colOff>152400</xdr:colOff>
      <xdr:row>542</xdr:row>
      <xdr:rowOff>104775</xdr:rowOff>
    </xdr:to>
    <xdr:graphicFrame>
      <xdr:nvGraphicFramePr>
        <xdr:cNvPr id="4" name="Chart 15"/>
        <xdr:cNvGraphicFramePr/>
      </xdr:nvGraphicFramePr>
      <xdr:xfrm>
        <a:off x="590550" y="85858350"/>
        <a:ext cx="49911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nity.edu/~rjensen/acct5341/133spraos.htm#http://www.trinity.edu/~rjensen/acct5341/speakers/133spraos.htm%2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nity.edu/~rjensen/acct5341/133spraos.htm#http://www.trinity.edu/~rjensen/acct5341/speakers/133spraos.htm%20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nity.edu/~rjensen/acct5341/133spraos.htm#http://www.trinity.edu/~rjensen/acct5341/speakers/133spraos.htm%20" TargetMode="External" /><Relationship Id="rId2" Type="http://schemas.openxmlformats.org/officeDocument/2006/relationships/hyperlink" Target="http://www.aicpa.org/pubs/jofa/joaiss.htm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9"/>
  <sheetViews>
    <sheetView tabSelected="1" workbookViewId="0" topLeftCell="A1">
      <selection activeCell="A1" sqref="A1"/>
    </sheetView>
  </sheetViews>
  <sheetFormatPr defaultColWidth="9.140625" defaultRowHeight="12.75"/>
  <cols>
    <col min="6" max="6" width="10.7109375" style="0" bestFit="1" customWidth="1"/>
    <col min="7" max="7" width="12.28125" style="0" customWidth="1"/>
  </cols>
  <sheetData>
    <row r="2" ht="18">
      <c r="A2" s="187" t="s">
        <v>142</v>
      </c>
    </row>
    <row r="3" ht="18">
      <c r="A3" s="187" t="s">
        <v>143</v>
      </c>
    </row>
    <row r="4" spans="1:5" ht="12.75">
      <c r="A4" s="4" t="s">
        <v>95</v>
      </c>
      <c r="E4" s="4" t="s">
        <v>368</v>
      </c>
    </row>
    <row r="5" ht="12.75">
      <c r="A5" t="s">
        <v>275</v>
      </c>
    </row>
    <row r="6" ht="12.75">
      <c r="B6" s="162" t="s">
        <v>144</v>
      </c>
    </row>
    <row r="7" ht="12.75">
      <c r="A7" t="s">
        <v>292</v>
      </c>
    </row>
    <row r="8" ht="12.75">
      <c r="B8" t="s">
        <v>111</v>
      </c>
    </row>
    <row r="9" ht="12.75">
      <c r="B9" t="s">
        <v>112</v>
      </c>
    </row>
    <row r="10" ht="12.75">
      <c r="B10" t="s">
        <v>113</v>
      </c>
    </row>
    <row r="11" ht="12.75">
      <c r="B11" t="s">
        <v>114</v>
      </c>
    </row>
    <row r="12" ht="12.75">
      <c r="B12" s="10" t="s">
        <v>543</v>
      </c>
    </row>
    <row r="13" ht="12.75">
      <c r="B13" s="4"/>
    </row>
    <row r="14" ht="12.75">
      <c r="A14" t="s">
        <v>115</v>
      </c>
    </row>
    <row r="15" ht="12.75">
      <c r="B15" t="s">
        <v>709</v>
      </c>
    </row>
    <row r="16" ht="12.75">
      <c r="B16" t="s">
        <v>710</v>
      </c>
    </row>
    <row r="18" ht="12.75" customHeight="1"/>
    <row r="19" ht="12.75" customHeight="1">
      <c r="A19" s="5" t="s">
        <v>108</v>
      </c>
    </row>
    <row r="20" ht="12.75">
      <c r="A20" t="s">
        <v>96</v>
      </c>
    </row>
    <row r="21" ht="12.75">
      <c r="A21" t="s">
        <v>700</v>
      </c>
    </row>
    <row r="22" ht="12.75">
      <c r="A22" t="s">
        <v>701</v>
      </c>
    </row>
    <row r="23" ht="12.75">
      <c r="A23" t="s">
        <v>702</v>
      </c>
    </row>
    <row r="24" ht="12.75">
      <c r="A24" s="189" t="s">
        <v>703</v>
      </c>
    </row>
    <row r="25" ht="12.75">
      <c r="A25" t="s">
        <v>704</v>
      </c>
    </row>
    <row r="26" ht="12.75">
      <c r="A26" t="s">
        <v>705</v>
      </c>
    </row>
    <row r="28" ht="12.75">
      <c r="A28" s="190" t="s">
        <v>706</v>
      </c>
    </row>
    <row r="29" ht="12.75">
      <c r="A29" s="188"/>
    </row>
    <row r="30" ht="12.75">
      <c r="A30" s="190" t="s">
        <v>707</v>
      </c>
    </row>
    <row r="31" ht="12.75">
      <c r="A31" s="188"/>
    </row>
    <row r="32" ht="12.75" customHeight="1">
      <c r="A32" t="s">
        <v>56</v>
      </c>
    </row>
    <row r="33" ht="12.75" customHeight="1">
      <c r="A33" t="s">
        <v>53</v>
      </c>
    </row>
    <row r="34" ht="12.75" customHeight="1">
      <c r="A34" t="s">
        <v>54</v>
      </c>
    </row>
    <row r="35" ht="12.75" customHeight="1">
      <c r="A35" t="s">
        <v>55</v>
      </c>
    </row>
    <row r="36" ht="12.75" customHeight="1">
      <c r="A36" t="s">
        <v>75</v>
      </c>
    </row>
    <row r="37" ht="12.75" customHeight="1"/>
    <row r="38" ht="12.75" customHeight="1">
      <c r="A38" s="5" t="s">
        <v>109</v>
      </c>
    </row>
    <row r="39" ht="25.5" customHeight="1">
      <c r="A39" t="s">
        <v>200</v>
      </c>
    </row>
    <row r="40" ht="12.75" customHeight="1">
      <c r="A40" t="s">
        <v>117</v>
      </c>
    </row>
    <row r="41" ht="12.75" customHeight="1">
      <c r="A41" t="s">
        <v>118</v>
      </c>
    </row>
    <row r="42" ht="12.75" customHeight="1">
      <c r="A42" t="s">
        <v>119</v>
      </c>
    </row>
    <row r="43" ht="12.75" customHeight="1">
      <c r="A43" t="s">
        <v>198</v>
      </c>
    </row>
    <row r="44" ht="12.75" customHeight="1">
      <c r="A44" t="s">
        <v>199</v>
      </c>
    </row>
    <row r="45" ht="12.75" customHeight="1">
      <c r="A45" t="s">
        <v>545</v>
      </c>
    </row>
    <row r="46" ht="12.75" customHeight="1">
      <c r="A46" t="s">
        <v>201</v>
      </c>
    </row>
    <row r="47" ht="12.75" customHeight="1"/>
    <row r="48" ht="12.75">
      <c r="A48" t="s">
        <v>213</v>
      </c>
    </row>
    <row r="49" ht="12.75">
      <c r="A49" t="s">
        <v>202</v>
      </c>
    </row>
    <row r="50" ht="12.75">
      <c r="A50" t="s">
        <v>203</v>
      </c>
    </row>
    <row r="51" ht="12.75">
      <c r="A51" t="s">
        <v>204</v>
      </c>
    </row>
    <row r="52" ht="12.75">
      <c r="A52" t="s">
        <v>205</v>
      </c>
    </row>
    <row r="53" ht="12.75">
      <c r="A53" t="s">
        <v>206</v>
      </c>
    </row>
    <row r="54" ht="12.75">
      <c r="A54" t="s">
        <v>207</v>
      </c>
    </row>
    <row r="55" ht="12.75">
      <c r="A55" t="s">
        <v>208</v>
      </c>
    </row>
    <row r="56" ht="12.75">
      <c r="A56" t="s">
        <v>211</v>
      </c>
    </row>
    <row r="57" ht="12.75">
      <c r="A57" t="s">
        <v>212</v>
      </c>
    </row>
    <row r="58" ht="12.75">
      <c r="A58" t="s">
        <v>214</v>
      </c>
    </row>
    <row r="60" ht="12.75" customHeight="1">
      <c r="A60" t="s">
        <v>52</v>
      </c>
    </row>
    <row r="61" ht="12.75" customHeight="1">
      <c r="A61" t="s">
        <v>50</v>
      </c>
    </row>
    <row r="62" ht="12.75" customHeight="1">
      <c r="A62" t="s">
        <v>51</v>
      </c>
    </row>
    <row r="63" ht="12.75" customHeight="1">
      <c r="A63" t="s">
        <v>578</v>
      </c>
    </row>
    <row r="64" ht="12.75" customHeight="1">
      <c r="A64" t="s">
        <v>276</v>
      </c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1" ht="12.75" customHeight="1">
      <c r="A81" s="5" t="s">
        <v>544</v>
      </c>
    </row>
    <row r="82" ht="12.75" customHeight="1">
      <c r="A82" t="s">
        <v>74</v>
      </c>
    </row>
    <row r="83" ht="12.75" customHeight="1">
      <c r="A83" t="s">
        <v>57</v>
      </c>
    </row>
    <row r="84" ht="12.75" customHeight="1">
      <c r="A84" t="s">
        <v>58</v>
      </c>
    </row>
    <row r="85" ht="12.75">
      <c r="A85" t="s">
        <v>59</v>
      </c>
    </row>
    <row r="86" ht="12.75">
      <c r="A86" t="s">
        <v>60</v>
      </c>
    </row>
    <row r="87" ht="12.75">
      <c r="A87" t="s">
        <v>61</v>
      </c>
    </row>
    <row r="88" ht="12.75">
      <c r="A88" t="s">
        <v>62</v>
      </c>
    </row>
    <row r="89" ht="12.75">
      <c r="A89" t="s">
        <v>63</v>
      </c>
    </row>
    <row r="90" ht="12.75">
      <c r="A90" t="s">
        <v>64</v>
      </c>
    </row>
    <row r="91" ht="12.75">
      <c r="A91" t="s">
        <v>579</v>
      </c>
    </row>
    <row r="105" ht="15.75">
      <c r="A105" s="5" t="s">
        <v>97</v>
      </c>
    </row>
    <row r="107" ht="12.75" customHeight="1">
      <c r="A107" t="s">
        <v>76</v>
      </c>
    </row>
    <row r="108" ht="12.75" customHeight="1">
      <c r="A108" t="s">
        <v>580</v>
      </c>
    </row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>
      <c r="A130" t="s">
        <v>78</v>
      </c>
    </row>
    <row r="131" ht="12.75" customHeight="1">
      <c r="A131" t="s">
        <v>77</v>
      </c>
    </row>
    <row r="132" ht="12.75" customHeight="1">
      <c r="A132" t="s">
        <v>79</v>
      </c>
    </row>
    <row r="133" ht="12.75" customHeight="1"/>
    <row r="134" ht="12.75" customHeight="1">
      <c r="A134" t="s">
        <v>277</v>
      </c>
    </row>
    <row r="135" ht="12.75" customHeight="1">
      <c r="A135" t="s">
        <v>692</v>
      </c>
    </row>
    <row r="136" ht="12.75" customHeight="1"/>
    <row r="137" ht="15.75">
      <c r="A137" s="5" t="s">
        <v>110</v>
      </c>
    </row>
    <row r="139" ht="12.75">
      <c r="B139" t="s">
        <v>377</v>
      </c>
    </row>
  </sheetData>
  <hyperlinks>
    <hyperlink ref="B6" r:id="rId1" display="http://www.trinity.edu/~rjensen/acct5341/133spraos.htm#http://www.trinity.edu/~rjensen/acct5341/speakers/133spraos.htm "/>
  </hyperlinks>
  <printOptions/>
  <pageMargins left="0.75" right="0.75" top="1" bottom="1" header="0.5" footer="0.5"/>
  <pageSetup horizontalDpi="200" verticalDpi="2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121"/>
  <sheetViews>
    <sheetView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3.57421875" style="0" bestFit="1" customWidth="1"/>
    <col min="3" max="4" width="13.28125" style="0" customWidth="1"/>
    <col min="5" max="5" width="12.7109375" style="0" customWidth="1"/>
    <col min="6" max="6" width="13.28125" style="0" hidden="1" customWidth="1"/>
    <col min="7" max="8" width="13.28125" style="69" customWidth="1"/>
    <col min="9" max="40" width="13.28125" style="0" customWidth="1"/>
  </cols>
  <sheetData>
    <row r="1" ht="12.75"/>
    <row r="2" ht="18">
      <c r="A2" s="187" t="s">
        <v>142</v>
      </c>
    </row>
    <row r="3" ht="18">
      <c r="A3" s="187" t="s">
        <v>143</v>
      </c>
    </row>
    <row r="4" spans="1:5" ht="12.75">
      <c r="A4" s="4" t="s">
        <v>95</v>
      </c>
      <c r="E4" s="4" t="s">
        <v>116</v>
      </c>
    </row>
    <row r="5" ht="12.75">
      <c r="A5" t="s">
        <v>275</v>
      </c>
    </row>
    <row r="6" ht="12.75">
      <c r="B6" s="162" t="s">
        <v>144</v>
      </c>
    </row>
    <row r="7" ht="12.75"/>
    <row r="8" ht="15.75">
      <c r="A8" s="7" t="s">
        <v>711</v>
      </c>
    </row>
    <row r="9" spans="1:40" ht="12.75">
      <c r="A9" t="s">
        <v>251</v>
      </c>
      <c r="B9" s="52">
        <v>251000000</v>
      </c>
      <c r="C9" s="52">
        <f aca="true" t="shared" si="0" ref="C9:D11">$B9</f>
        <v>251000000</v>
      </c>
      <c r="D9" s="52">
        <f t="shared" si="0"/>
        <v>251000000</v>
      </c>
      <c r="E9" s="52">
        <f aca="true" t="shared" si="1" ref="E9:AN11">$B9</f>
        <v>251000000</v>
      </c>
      <c r="F9" s="52">
        <f t="shared" si="1"/>
        <v>251000000</v>
      </c>
      <c r="G9" s="77">
        <f t="shared" si="1"/>
        <v>251000000</v>
      </c>
      <c r="H9" s="77">
        <f t="shared" si="1"/>
        <v>251000000</v>
      </c>
      <c r="I9" s="52">
        <f t="shared" si="1"/>
        <v>251000000</v>
      </c>
      <c r="J9" s="52">
        <f t="shared" si="1"/>
        <v>251000000</v>
      </c>
      <c r="K9" s="52">
        <f t="shared" si="1"/>
        <v>251000000</v>
      </c>
      <c r="L9" s="52">
        <f t="shared" si="1"/>
        <v>251000000</v>
      </c>
      <c r="M9" s="52">
        <f t="shared" si="1"/>
        <v>251000000</v>
      </c>
      <c r="N9" s="52">
        <f t="shared" si="1"/>
        <v>251000000</v>
      </c>
      <c r="O9" s="52">
        <f t="shared" si="1"/>
        <v>251000000</v>
      </c>
      <c r="P9" s="52">
        <f t="shared" si="1"/>
        <v>251000000</v>
      </c>
      <c r="Q9" s="52">
        <f t="shared" si="1"/>
        <v>251000000</v>
      </c>
      <c r="R9" s="52">
        <f t="shared" si="1"/>
        <v>251000000</v>
      </c>
      <c r="S9" s="52">
        <f t="shared" si="1"/>
        <v>251000000</v>
      </c>
      <c r="T9" s="52">
        <f t="shared" si="1"/>
        <v>251000000</v>
      </c>
      <c r="U9" s="52">
        <f t="shared" si="1"/>
        <v>251000000</v>
      </c>
      <c r="V9" s="52">
        <f t="shared" si="1"/>
        <v>251000000</v>
      </c>
      <c r="W9" s="52">
        <f t="shared" si="1"/>
        <v>251000000</v>
      </c>
      <c r="X9" s="52">
        <f t="shared" si="1"/>
        <v>251000000</v>
      </c>
      <c r="Y9" s="52">
        <f t="shared" si="1"/>
        <v>251000000</v>
      </c>
      <c r="Z9" s="52">
        <f t="shared" si="1"/>
        <v>251000000</v>
      </c>
      <c r="AA9" s="52">
        <f t="shared" si="1"/>
        <v>251000000</v>
      </c>
      <c r="AB9" s="52">
        <f t="shared" si="1"/>
        <v>251000000</v>
      </c>
      <c r="AC9" s="52">
        <f t="shared" si="1"/>
        <v>251000000</v>
      </c>
      <c r="AD9" s="52">
        <f t="shared" si="1"/>
        <v>251000000</v>
      </c>
      <c r="AE9" s="52">
        <f t="shared" si="1"/>
        <v>251000000</v>
      </c>
      <c r="AF9" s="52">
        <f t="shared" si="1"/>
        <v>251000000</v>
      </c>
      <c r="AG9" s="52">
        <f t="shared" si="1"/>
        <v>251000000</v>
      </c>
      <c r="AH9" s="52">
        <f t="shared" si="1"/>
        <v>251000000</v>
      </c>
      <c r="AI9" s="52">
        <f t="shared" si="1"/>
        <v>251000000</v>
      </c>
      <c r="AJ9" s="52">
        <f t="shared" si="1"/>
        <v>251000000</v>
      </c>
      <c r="AK9" s="52">
        <f t="shared" si="1"/>
        <v>251000000</v>
      </c>
      <c r="AL9" s="52">
        <f t="shared" si="1"/>
        <v>251000000</v>
      </c>
      <c r="AM9" s="52">
        <f t="shared" si="1"/>
        <v>251000000</v>
      </c>
      <c r="AN9" s="52">
        <f t="shared" si="1"/>
        <v>251000000</v>
      </c>
    </row>
    <row r="10" spans="1:40" ht="12.75">
      <c r="A10" s="68" t="s">
        <v>252</v>
      </c>
      <c r="B10" s="70">
        <f>0.1148/12</f>
        <v>0.009566666666666666</v>
      </c>
      <c r="C10" s="70">
        <f t="shared" si="0"/>
        <v>0.009566666666666666</v>
      </c>
      <c r="D10" s="70">
        <f t="shared" si="0"/>
        <v>0.009566666666666666</v>
      </c>
      <c r="E10" s="70">
        <f t="shared" si="1"/>
        <v>0.009566666666666666</v>
      </c>
      <c r="F10" s="70">
        <f t="shared" si="1"/>
        <v>0.009566666666666666</v>
      </c>
      <c r="G10" s="193">
        <f t="shared" si="1"/>
        <v>0.009566666666666666</v>
      </c>
      <c r="H10" s="193">
        <f t="shared" si="1"/>
        <v>0.009566666666666666</v>
      </c>
      <c r="I10" s="70">
        <f t="shared" si="1"/>
        <v>0.009566666666666666</v>
      </c>
      <c r="J10" s="70">
        <f t="shared" si="1"/>
        <v>0.009566666666666666</v>
      </c>
      <c r="K10" s="70">
        <f t="shared" si="1"/>
        <v>0.009566666666666666</v>
      </c>
      <c r="L10" s="70">
        <f t="shared" si="1"/>
        <v>0.009566666666666666</v>
      </c>
      <c r="M10" s="70">
        <f t="shared" si="1"/>
        <v>0.009566666666666666</v>
      </c>
      <c r="N10" s="70">
        <f t="shared" si="1"/>
        <v>0.009566666666666666</v>
      </c>
      <c r="O10" s="70">
        <f t="shared" si="1"/>
        <v>0.009566666666666666</v>
      </c>
      <c r="P10" s="70">
        <f t="shared" si="1"/>
        <v>0.009566666666666666</v>
      </c>
      <c r="Q10" s="70">
        <f t="shared" si="1"/>
        <v>0.009566666666666666</v>
      </c>
      <c r="R10" s="70">
        <f t="shared" si="1"/>
        <v>0.009566666666666666</v>
      </c>
      <c r="S10" s="70">
        <f t="shared" si="1"/>
        <v>0.009566666666666666</v>
      </c>
      <c r="T10" s="70">
        <f t="shared" si="1"/>
        <v>0.009566666666666666</v>
      </c>
      <c r="U10" s="70">
        <f t="shared" si="1"/>
        <v>0.009566666666666666</v>
      </c>
      <c r="V10" s="70">
        <f t="shared" si="1"/>
        <v>0.009566666666666666</v>
      </c>
      <c r="W10" s="70">
        <f t="shared" si="1"/>
        <v>0.009566666666666666</v>
      </c>
      <c r="X10" s="70">
        <f t="shared" si="1"/>
        <v>0.009566666666666666</v>
      </c>
      <c r="Y10" s="70">
        <f t="shared" si="1"/>
        <v>0.009566666666666666</v>
      </c>
      <c r="Z10" s="70">
        <f t="shared" si="1"/>
        <v>0.009566666666666666</v>
      </c>
      <c r="AA10" s="70">
        <f t="shared" si="1"/>
        <v>0.009566666666666666</v>
      </c>
      <c r="AB10" s="70">
        <f t="shared" si="1"/>
        <v>0.009566666666666666</v>
      </c>
      <c r="AC10" s="70">
        <f t="shared" si="1"/>
        <v>0.009566666666666666</v>
      </c>
      <c r="AD10" s="70">
        <f t="shared" si="1"/>
        <v>0.009566666666666666</v>
      </c>
      <c r="AE10" s="70">
        <f t="shared" si="1"/>
        <v>0.009566666666666666</v>
      </c>
      <c r="AF10" s="70">
        <f t="shared" si="1"/>
        <v>0.009566666666666666</v>
      </c>
      <c r="AG10" s="70">
        <f t="shared" si="1"/>
        <v>0.009566666666666666</v>
      </c>
      <c r="AH10" s="70">
        <f t="shared" si="1"/>
        <v>0.009566666666666666</v>
      </c>
      <c r="AI10" s="70">
        <f t="shared" si="1"/>
        <v>0.009566666666666666</v>
      </c>
      <c r="AJ10" s="70">
        <f t="shared" si="1"/>
        <v>0.009566666666666666</v>
      </c>
      <c r="AK10" s="70">
        <f t="shared" si="1"/>
        <v>0.009566666666666666</v>
      </c>
      <c r="AL10" s="70">
        <f t="shared" si="1"/>
        <v>0.009566666666666666</v>
      </c>
      <c r="AM10" s="70">
        <f t="shared" si="1"/>
        <v>0.009566666666666666</v>
      </c>
      <c r="AN10" s="70">
        <f t="shared" si="1"/>
        <v>0.009566666666666666</v>
      </c>
    </row>
    <row r="11" spans="1:40" ht="12.75">
      <c r="A11" t="s">
        <v>253</v>
      </c>
      <c r="B11" s="57">
        <v>38</v>
      </c>
      <c r="C11" s="57">
        <f t="shared" si="0"/>
        <v>38</v>
      </c>
      <c r="D11" s="57">
        <f t="shared" si="0"/>
        <v>38</v>
      </c>
      <c r="E11" s="57">
        <f t="shared" si="1"/>
        <v>38</v>
      </c>
      <c r="F11" s="57">
        <f t="shared" si="1"/>
        <v>38</v>
      </c>
      <c r="G11" s="71">
        <f t="shared" si="1"/>
        <v>38</v>
      </c>
      <c r="H11" s="71">
        <f t="shared" si="1"/>
        <v>38</v>
      </c>
      <c r="I11" s="57">
        <f t="shared" si="1"/>
        <v>38</v>
      </c>
      <c r="J11" s="57">
        <f t="shared" si="1"/>
        <v>38</v>
      </c>
      <c r="K11" s="57">
        <f t="shared" si="1"/>
        <v>38</v>
      </c>
      <c r="L11" s="57">
        <f t="shared" si="1"/>
        <v>38</v>
      </c>
      <c r="M11" s="57">
        <f t="shared" si="1"/>
        <v>38</v>
      </c>
      <c r="N11" s="57">
        <f t="shared" si="1"/>
        <v>38</v>
      </c>
      <c r="O11" s="57">
        <f t="shared" si="1"/>
        <v>38</v>
      </c>
      <c r="P11" s="57">
        <f t="shared" si="1"/>
        <v>38</v>
      </c>
      <c r="Q11" s="57">
        <f t="shared" si="1"/>
        <v>38</v>
      </c>
      <c r="R11" s="57">
        <f t="shared" si="1"/>
        <v>38</v>
      </c>
      <c r="S11" s="57">
        <f t="shared" si="1"/>
        <v>38</v>
      </c>
      <c r="T11" s="57">
        <f t="shared" si="1"/>
        <v>38</v>
      </c>
      <c r="U11" s="57">
        <f t="shared" si="1"/>
        <v>38</v>
      </c>
      <c r="V11" s="57">
        <f t="shared" si="1"/>
        <v>38</v>
      </c>
      <c r="W11" s="57">
        <f t="shared" si="1"/>
        <v>38</v>
      </c>
      <c r="X11" s="57">
        <f t="shared" si="1"/>
        <v>38</v>
      </c>
      <c r="Y11" s="57">
        <f t="shared" si="1"/>
        <v>38</v>
      </c>
      <c r="Z11" s="57">
        <f t="shared" si="1"/>
        <v>38</v>
      </c>
      <c r="AA11" s="57">
        <f t="shared" si="1"/>
        <v>38</v>
      </c>
      <c r="AB11" s="57">
        <f t="shared" si="1"/>
        <v>38</v>
      </c>
      <c r="AC11" s="57">
        <f t="shared" si="1"/>
        <v>38</v>
      </c>
      <c r="AD11" s="57">
        <f t="shared" si="1"/>
        <v>38</v>
      </c>
      <c r="AE11" s="57">
        <f t="shared" si="1"/>
        <v>38</v>
      </c>
      <c r="AF11" s="57">
        <f t="shared" si="1"/>
        <v>38</v>
      </c>
      <c r="AG11" s="57">
        <f t="shared" si="1"/>
        <v>38</v>
      </c>
      <c r="AH11" s="57">
        <f t="shared" si="1"/>
        <v>38</v>
      </c>
      <c r="AI11" s="57">
        <f t="shared" si="1"/>
        <v>38</v>
      </c>
      <c r="AJ11" s="57">
        <f t="shared" si="1"/>
        <v>38</v>
      </c>
      <c r="AK11" s="57">
        <f t="shared" si="1"/>
        <v>38</v>
      </c>
      <c r="AL11" s="57">
        <f t="shared" si="1"/>
        <v>38</v>
      </c>
      <c r="AM11" s="57">
        <f t="shared" si="1"/>
        <v>38</v>
      </c>
      <c r="AN11" s="57">
        <f t="shared" si="1"/>
        <v>38</v>
      </c>
    </row>
    <row r="12" spans="1:40" s="57" customFormat="1" ht="13.5" thickBot="1">
      <c r="A12" s="71" t="s">
        <v>247</v>
      </c>
      <c r="B12" s="57">
        <v>0</v>
      </c>
      <c r="C12" s="57">
        <f>B12+1</f>
        <v>1</v>
      </c>
      <c r="D12" s="57">
        <f>C12+1</f>
        <v>2</v>
      </c>
      <c r="E12" s="57">
        <f aca="true" t="shared" si="2" ref="E12:AN12">D12+1</f>
        <v>3</v>
      </c>
      <c r="F12" s="57">
        <f t="shared" si="2"/>
        <v>4</v>
      </c>
      <c r="G12" s="71">
        <f t="shared" si="2"/>
        <v>5</v>
      </c>
      <c r="H12" s="71">
        <f t="shared" si="2"/>
        <v>6</v>
      </c>
      <c r="I12" s="57">
        <f t="shared" si="2"/>
        <v>7</v>
      </c>
      <c r="J12" s="57">
        <f t="shared" si="2"/>
        <v>8</v>
      </c>
      <c r="K12" s="57">
        <f t="shared" si="2"/>
        <v>9</v>
      </c>
      <c r="L12" s="57">
        <f t="shared" si="2"/>
        <v>10</v>
      </c>
      <c r="M12" s="57">
        <f t="shared" si="2"/>
        <v>11</v>
      </c>
      <c r="N12" s="57">
        <f t="shared" si="2"/>
        <v>12</v>
      </c>
      <c r="O12" s="57">
        <f t="shared" si="2"/>
        <v>13</v>
      </c>
      <c r="P12" s="57">
        <f t="shared" si="2"/>
        <v>14</v>
      </c>
      <c r="Q12" s="57">
        <f t="shared" si="2"/>
        <v>15</v>
      </c>
      <c r="R12" s="57">
        <f t="shared" si="2"/>
        <v>16</v>
      </c>
      <c r="S12" s="57">
        <f t="shared" si="2"/>
        <v>17</v>
      </c>
      <c r="T12" s="57">
        <f t="shared" si="2"/>
        <v>18</v>
      </c>
      <c r="U12" s="57">
        <f t="shared" si="2"/>
        <v>19</v>
      </c>
      <c r="V12" s="57">
        <f t="shared" si="2"/>
        <v>20</v>
      </c>
      <c r="W12" s="57">
        <f t="shared" si="2"/>
        <v>21</v>
      </c>
      <c r="X12" s="57">
        <f t="shared" si="2"/>
        <v>22</v>
      </c>
      <c r="Y12" s="57">
        <f t="shared" si="2"/>
        <v>23</v>
      </c>
      <c r="Z12" s="57">
        <f t="shared" si="2"/>
        <v>24</v>
      </c>
      <c r="AA12" s="57">
        <f t="shared" si="2"/>
        <v>25</v>
      </c>
      <c r="AB12" s="57">
        <f t="shared" si="2"/>
        <v>26</v>
      </c>
      <c r="AC12" s="57">
        <f t="shared" si="2"/>
        <v>27</v>
      </c>
      <c r="AD12" s="57">
        <f t="shared" si="2"/>
        <v>28</v>
      </c>
      <c r="AE12" s="57">
        <f t="shared" si="2"/>
        <v>29</v>
      </c>
      <c r="AF12" s="57">
        <f t="shared" si="2"/>
        <v>30</v>
      </c>
      <c r="AG12" s="57">
        <f t="shared" si="2"/>
        <v>31</v>
      </c>
      <c r="AH12" s="57">
        <f t="shared" si="2"/>
        <v>32</v>
      </c>
      <c r="AI12" s="57">
        <f t="shared" si="2"/>
        <v>33</v>
      </c>
      <c r="AJ12" s="57">
        <f t="shared" si="2"/>
        <v>34</v>
      </c>
      <c r="AK12" s="57">
        <f t="shared" si="2"/>
        <v>35</v>
      </c>
      <c r="AL12" s="57">
        <f t="shared" si="2"/>
        <v>36</v>
      </c>
      <c r="AM12" s="57">
        <f t="shared" si="2"/>
        <v>37</v>
      </c>
      <c r="AN12" s="57">
        <f t="shared" si="2"/>
        <v>38</v>
      </c>
    </row>
    <row r="13" spans="1:40" ht="12.75">
      <c r="A13" s="72" t="s">
        <v>246</v>
      </c>
      <c r="B13" s="74" t="s">
        <v>270</v>
      </c>
      <c r="C13" s="78">
        <f>IPMT($B10,C12,$B11,-B9,0)</f>
        <v>2401233.333333333</v>
      </c>
      <c r="D13" s="78">
        <f>IPMT($B10,D12,$B11,-$B9,0)</f>
        <v>2348535.997264757</v>
      </c>
      <c r="E13" s="78">
        <f>IPMT($B10,E12,$B11,-$B9,0)</f>
        <v>2295334.523347791</v>
      </c>
      <c r="F13" s="78">
        <f aca="true" t="shared" si="3" ref="F13:AN13">IPMT($B10,F12,$B11,-$B9,0)</f>
        <v>2241624.0886636865</v>
      </c>
      <c r="G13" s="194">
        <f t="shared" si="3"/>
        <v>2187399.824154436</v>
      </c>
      <c r="H13" s="194">
        <f t="shared" si="3"/>
        <v>2132656.8141813814</v>
      </c>
      <c r="I13" s="78">
        <f t="shared" si="3"/>
        <v>2077390.0960795847</v>
      </c>
      <c r="J13" s="78">
        <f t="shared" si="3"/>
        <v>2021594.6597079476</v>
      </c>
      <c r="K13" s="78">
        <f t="shared" si="3"/>
        <v>1965265.4469950197</v>
      </c>
      <c r="L13" s="78">
        <f t="shared" si="3"/>
        <v>1908397.3514804735</v>
      </c>
      <c r="M13" s="78">
        <f t="shared" si="3"/>
        <v>1850985.2178521715</v>
      </c>
      <c r="N13" s="78">
        <f t="shared" si="3"/>
        <v>1793023.8414788248</v>
      </c>
      <c r="O13" s="78">
        <f t="shared" si="3"/>
        <v>1734507.9679381724</v>
      </c>
      <c r="P13" s="78">
        <f t="shared" si="3"/>
        <v>1675432.2925406497</v>
      </c>
      <c r="Q13" s="78">
        <f t="shared" si="3"/>
        <v>1615791.45984849</v>
      </c>
      <c r="R13" s="78">
        <f t="shared" si="3"/>
        <v>1555580.063190242</v>
      </c>
      <c r="S13" s="78">
        <f t="shared" si="3"/>
        <v>1494792.6441706284</v>
      </c>
      <c r="T13" s="78">
        <f t="shared" si="3"/>
        <v>1433423.6921757287</v>
      </c>
      <c r="U13" s="78">
        <f t="shared" si="3"/>
        <v>1371467.6438734115</v>
      </c>
      <c r="V13" s="78">
        <f t="shared" si="3"/>
        <v>1308918.882709002</v>
      </c>
      <c r="W13" s="78">
        <f t="shared" si="3"/>
        <v>1245771.7383961172</v>
      </c>
      <c r="X13" s="78">
        <f t="shared" si="3"/>
        <v>1182020.4864026415</v>
      </c>
      <c r="Y13" s="78">
        <f t="shared" si="3"/>
        <v>1117659.3474317624</v>
      </c>
      <c r="Z13" s="78">
        <f t="shared" si="3"/>
        <v>1052682.4868980602</v>
      </c>
      <c r="AA13" s="78">
        <f t="shared" si="3"/>
        <v>987084.0143985838</v>
      </c>
      <c r="AB13" s="78">
        <f t="shared" si="3"/>
        <v>920857.9831788652</v>
      </c>
      <c r="AC13" s="78">
        <f t="shared" si="3"/>
        <v>853998.3895938117</v>
      </c>
      <c r="AD13" s="78">
        <f t="shared" si="3"/>
        <v>786499.1725634602</v>
      </c>
      <c r="AE13" s="78">
        <f t="shared" si="3"/>
        <v>718354.2130235173</v>
      </c>
      <c r="AF13" s="78">
        <f t="shared" si="3"/>
        <v>649557.333370643</v>
      </c>
      <c r="AG13" s="78">
        <f t="shared" si="3"/>
        <v>580102.296902425</v>
      </c>
      <c r="AH13" s="78">
        <f t="shared" si="3"/>
        <v>509982.8072519923</v>
      </c>
      <c r="AI13" s="78">
        <f t="shared" si="3"/>
        <v>439192.50781723537</v>
      </c>
      <c r="AJ13" s="78">
        <f t="shared" si="3"/>
        <v>367724.9811845547</v>
      </c>
      <c r="AK13" s="78">
        <f t="shared" si="3"/>
        <v>295573.7485470876</v>
      </c>
      <c r="AL13" s="78">
        <f t="shared" si="3"/>
        <v>222732.26911738986</v>
      </c>
      <c r="AM13" s="78">
        <f t="shared" si="3"/>
        <v>149193.93953447943</v>
      </c>
      <c r="AN13" s="78">
        <f t="shared" si="3"/>
        <v>74952.09326522677</v>
      </c>
    </row>
    <row r="14" spans="1:40" ht="12.75">
      <c r="A14" s="73" t="s">
        <v>248</v>
      </c>
      <c r="B14" s="81" t="s">
        <v>249</v>
      </c>
      <c r="C14" s="79">
        <f>PPMT($B10,C12,$B11,-$B9,0)</f>
        <v>5508432.341662991</v>
      </c>
      <c r="D14" s="79">
        <f>PPMT($B10,D12,$B11,-$B9,0)</f>
        <v>5561129.677731567</v>
      </c>
      <c r="E14" s="79">
        <f aca="true" t="shared" si="4" ref="E14:AN14">PPMT($B10,E12,$B11,-$B9,0)</f>
        <v>5614331.151648533</v>
      </c>
      <c r="F14" s="79">
        <f t="shared" si="4"/>
        <v>5668041.586332638</v>
      </c>
      <c r="G14" s="195">
        <f t="shared" si="4"/>
        <v>5722265.850841887</v>
      </c>
      <c r="H14" s="195">
        <f t="shared" si="4"/>
        <v>5777008.860814942</v>
      </c>
      <c r="I14" s="79">
        <f t="shared" si="4"/>
        <v>5832275.57891674</v>
      </c>
      <c r="J14" s="79">
        <f t="shared" si="4"/>
        <v>5888071.015288376</v>
      </c>
      <c r="K14" s="79">
        <f t="shared" si="4"/>
        <v>5944400.228001304</v>
      </c>
      <c r="L14" s="79">
        <f t="shared" si="4"/>
        <v>6001268.32351585</v>
      </c>
      <c r="M14" s="79">
        <f t="shared" si="4"/>
        <v>6058680.457144152</v>
      </c>
      <c r="N14" s="79">
        <f t="shared" si="4"/>
        <v>6116641.833517499</v>
      </c>
      <c r="O14" s="79">
        <f t="shared" si="4"/>
        <v>6175157.707058151</v>
      </c>
      <c r="P14" s="79">
        <f t="shared" si="4"/>
        <v>6234233.382455674</v>
      </c>
      <c r="Q14" s="79">
        <f t="shared" si="4"/>
        <v>6293874.215147834</v>
      </c>
      <c r="R14" s="79">
        <f t="shared" si="4"/>
        <v>6354085.611806082</v>
      </c>
      <c r="S14" s="79">
        <f t="shared" si="4"/>
        <v>6414873.030825695</v>
      </c>
      <c r="T14" s="79">
        <f t="shared" si="4"/>
        <v>6476241.982820595</v>
      </c>
      <c r="U14" s="79">
        <f t="shared" si="4"/>
        <v>6538198.031122913</v>
      </c>
      <c r="V14" s="79">
        <f t="shared" si="4"/>
        <v>6600746.792287322</v>
      </c>
      <c r="W14" s="79">
        <f t="shared" si="4"/>
        <v>6663893.936600206</v>
      </c>
      <c r="X14" s="79">
        <f t="shared" si="4"/>
        <v>6727645.188593682</v>
      </c>
      <c r="Y14" s="79">
        <f t="shared" si="4"/>
        <v>6792006.327564562</v>
      </c>
      <c r="Z14" s="79">
        <f t="shared" si="4"/>
        <v>6856983.188098264</v>
      </c>
      <c r="AA14" s="79">
        <f t="shared" si="4"/>
        <v>6922581.66059774</v>
      </c>
      <c r="AB14" s="79">
        <f t="shared" si="4"/>
        <v>6988807.691817459</v>
      </c>
      <c r="AC14" s="79">
        <f t="shared" si="4"/>
        <v>7055667.285402512</v>
      </c>
      <c r="AD14" s="79">
        <f t="shared" si="4"/>
        <v>7123166.502432864</v>
      </c>
      <c r="AE14" s="79">
        <f t="shared" si="4"/>
        <v>7191311.461972807</v>
      </c>
      <c r="AF14" s="79">
        <f t="shared" si="4"/>
        <v>7260108.341625681</v>
      </c>
      <c r="AG14" s="79">
        <f t="shared" si="4"/>
        <v>7329563.378093899</v>
      </c>
      <c r="AH14" s="79">
        <f t="shared" si="4"/>
        <v>7399682.867744331</v>
      </c>
      <c r="AI14" s="79">
        <f t="shared" si="4"/>
        <v>7470473.167179088</v>
      </c>
      <c r="AJ14" s="79">
        <f t="shared" si="4"/>
        <v>7541940.69381177</v>
      </c>
      <c r="AK14" s="79">
        <f t="shared" si="4"/>
        <v>7614091.926449236</v>
      </c>
      <c r="AL14" s="79">
        <f t="shared" si="4"/>
        <v>7686933.405878934</v>
      </c>
      <c r="AM14" s="79">
        <f t="shared" si="4"/>
        <v>7760471.735461844</v>
      </c>
      <c r="AN14" s="79">
        <f t="shared" si="4"/>
        <v>7834713.581731097</v>
      </c>
    </row>
    <row r="15" spans="1:40" ht="13.5" thickBot="1">
      <c r="A15" s="75" t="s">
        <v>250</v>
      </c>
      <c r="B15" s="76" t="s">
        <v>254</v>
      </c>
      <c r="C15" s="80">
        <f>PMT($B10,$B11,-$B9,0,0)</f>
        <v>7909665.674996324</v>
      </c>
      <c r="D15" s="80">
        <f>PMT($B10,$B11,-$B9,0,0)</f>
        <v>7909665.674996324</v>
      </c>
      <c r="E15" s="80">
        <f aca="true" t="shared" si="5" ref="E15:AN15">PMT($B10,$B11,-$B9,0,0)</f>
        <v>7909665.674996324</v>
      </c>
      <c r="F15" s="80">
        <f t="shared" si="5"/>
        <v>7909665.674996324</v>
      </c>
      <c r="G15" s="196">
        <f t="shared" si="5"/>
        <v>7909665.674996324</v>
      </c>
      <c r="H15" s="196">
        <f t="shared" si="5"/>
        <v>7909665.674996324</v>
      </c>
      <c r="I15" s="80">
        <f t="shared" si="5"/>
        <v>7909665.674996324</v>
      </c>
      <c r="J15" s="80">
        <f t="shared" si="5"/>
        <v>7909665.674996324</v>
      </c>
      <c r="K15" s="80">
        <f t="shared" si="5"/>
        <v>7909665.674996324</v>
      </c>
      <c r="L15" s="80">
        <f t="shared" si="5"/>
        <v>7909665.674996324</v>
      </c>
      <c r="M15" s="80">
        <f t="shared" si="5"/>
        <v>7909665.674996324</v>
      </c>
      <c r="N15" s="80">
        <f t="shared" si="5"/>
        <v>7909665.674996324</v>
      </c>
      <c r="O15" s="80">
        <f t="shared" si="5"/>
        <v>7909665.674996324</v>
      </c>
      <c r="P15" s="80">
        <f t="shared" si="5"/>
        <v>7909665.674996324</v>
      </c>
      <c r="Q15" s="80">
        <f t="shared" si="5"/>
        <v>7909665.674996324</v>
      </c>
      <c r="R15" s="80">
        <f t="shared" si="5"/>
        <v>7909665.674996324</v>
      </c>
      <c r="S15" s="80">
        <f t="shared" si="5"/>
        <v>7909665.674996324</v>
      </c>
      <c r="T15" s="80">
        <f t="shared" si="5"/>
        <v>7909665.674996324</v>
      </c>
      <c r="U15" s="80">
        <f t="shared" si="5"/>
        <v>7909665.674996324</v>
      </c>
      <c r="V15" s="80">
        <f t="shared" si="5"/>
        <v>7909665.674996324</v>
      </c>
      <c r="W15" s="80">
        <f t="shared" si="5"/>
        <v>7909665.674996324</v>
      </c>
      <c r="X15" s="80">
        <f t="shared" si="5"/>
        <v>7909665.674996324</v>
      </c>
      <c r="Y15" s="80">
        <f t="shared" si="5"/>
        <v>7909665.674996324</v>
      </c>
      <c r="Z15" s="80">
        <f t="shared" si="5"/>
        <v>7909665.674996324</v>
      </c>
      <c r="AA15" s="80">
        <f t="shared" si="5"/>
        <v>7909665.674996324</v>
      </c>
      <c r="AB15" s="80">
        <f t="shared" si="5"/>
        <v>7909665.674996324</v>
      </c>
      <c r="AC15" s="80">
        <f t="shared" si="5"/>
        <v>7909665.674996324</v>
      </c>
      <c r="AD15" s="80">
        <f t="shared" si="5"/>
        <v>7909665.674996324</v>
      </c>
      <c r="AE15" s="80">
        <f t="shared" si="5"/>
        <v>7909665.674996324</v>
      </c>
      <c r="AF15" s="80">
        <f t="shared" si="5"/>
        <v>7909665.674996324</v>
      </c>
      <c r="AG15" s="80">
        <f t="shared" si="5"/>
        <v>7909665.674996324</v>
      </c>
      <c r="AH15" s="80">
        <f t="shared" si="5"/>
        <v>7909665.674996324</v>
      </c>
      <c r="AI15" s="80">
        <f t="shared" si="5"/>
        <v>7909665.674996324</v>
      </c>
      <c r="AJ15" s="80">
        <f t="shared" si="5"/>
        <v>7909665.674996324</v>
      </c>
      <c r="AK15" s="80">
        <f t="shared" si="5"/>
        <v>7909665.674996324</v>
      </c>
      <c r="AL15" s="80">
        <f t="shared" si="5"/>
        <v>7909665.674996324</v>
      </c>
      <c r="AM15" s="80">
        <f t="shared" si="5"/>
        <v>7909665.674996324</v>
      </c>
      <c r="AN15" s="80">
        <f t="shared" si="5"/>
        <v>7909665.674996324</v>
      </c>
    </row>
    <row r="16" spans="1:40" ht="12.75">
      <c r="A16" s="69" t="s">
        <v>255</v>
      </c>
      <c r="B16" s="77" t="s">
        <v>256</v>
      </c>
      <c r="C16" s="52">
        <f>C13+C14</f>
        <v>7909665.674996324</v>
      </c>
      <c r="D16" s="52">
        <f>D13+D14</f>
        <v>7909665.674996324</v>
      </c>
      <c r="E16" s="52">
        <f aca="true" t="shared" si="6" ref="E16:AN16">E13+E14</f>
        <v>7909665.674996324</v>
      </c>
      <c r="F16" s="52">
        <f t="shared" si="6"/>
        <v>7909665.674996324</v>
      </c>
      <c r="G16" s="77">
        <f t="shared" si="6"/>
        <v>7909665.674996324</v>
      </c>
      <c r="H16" s="77">
        <f t="shared" si="6"/>
        <v>7909665.674996324</v>
      </c>
      <c r="I16" s="52">
        <f t="shared" si="6"/>
        <v>7909665.674996324</v>
      </c>
      <c r="J16" s="52">
        <f t="shared" si="6"/>
        <v>7909665.674996324</v>
      </c>
      <c r="K16" s="52">
        <f t="shared" si="6"/>
        <v>7909665.674996324</v>
      </c>
      <c r="L16" s="52">
        <f t="shared" si="6"/>
        <v>7909665.674996324</v>
      </c>
      <c r="M16" s="52">
        <f t="shared" si="6"/>
        <v>7909665.674996324</v>
      </c>
      <c r="N16" s="52">
        <f t="shared" si="6"/>
        <v>7909665.674996324</v>
      </c>
      <c r="O16" s="52">
        <f t="shared" si="6"/>
        <v>7909665.674996324</v>
      </c>
      <c r="P16" s="52">
        <f t="shared" si="6"/>
        <v>7909665.674996324</v>
      </c>
      <c r="Q16" s="52">
        <f t="shared" si="6"/>
        <v>7909665.674996324</v>
      </c>
      <c r="R16" s="52">
        <f t="shared" si="6"/>
        <v>7909665.674996324</v>
      </c>
      <c r="S16" s="52">
        <f t="shared" si="6"/>
        <v>7909665.674996324</v>
      </c>
      <c r="T16" s="52">
        <f t="shared" si="6"/>
        <v>7909665.674996324</v>
      </c>
      <c r="U16" s="52">
        <f t="shared" si="6"/>
        <v>7909665.674996324</v>
      </c>
      <c r="V16" s="52">
        <f t="shared" si="6"/>
        <v>7909665.674996324</v>
      </c>
      <c r="W16" s="52">
        <f t="shared" si="6"/>
        <v>7909665.674996324</v>
      </c>
      <c r="X16" s="52">
        <f t="shared" si="6"/>
        <v>7909665.674996324</v>
      </c>
      <c r="Y16" s="52">
        <f t="shared" si="6"/>
        <v>7909665.674996324</v>
      </c>
      <c r="Z16" s="52">
        <f t="shared" si="6"/>
        <v>7909665.674996324</v>
      </c>
      <c r="AA16" s="52">
        <f t="shared" si="6"/>
        <v>7909665.674996324</v>
      </c>
      <c r="AB16" s="52">
        <f t="shared" si="6"/>
        <v>7909665.674996324</v>
      </c>
      <c r="AC16" s="52">
        <f t="shared" si="6"/>
        <v>7909665.674996324</v>
      </c>
      <c r="AD16" s="52">
        <f t="shared" si="6"/>
        <v>7909665.674996324</v>
      </c>
      <c r="AE16" s="52">
        <f t="shared" si="6"/>
        <v>7909665.674996324</v>
      </c>
      <c r="AF16" s="52">
        <f t="shared" si="6"/>
        <v>7909665.674996324</v>
      </c>
      <c r="AG16" s="52">
        <f t="shared" si="6"/>
        <v>7909665.674996324</v>
      </c>
      <c r="AH16" s="52">
        <f t="shared" si="6"/>
        <v>7909665.674996324</v>
      </c>
      <c r="AI16" s="52">
        <f t="shared" si="6"/>
        <v>7909665.674996324</v>
      </c>
      <c r="AJ16" s="52">
        <f t="shared" si="6"/>
        <v>7909665.674996324</v>
      </c>
      <c r="AK16" s="52">
        <f t="shared" si="6"/>
        <v>7909665.674996324</v>
      </c>
      <c r="AL16" s="52">
        <f t="shared" si="6"/>
        <v>7909665.674996324</v>
      </c>
      <c r="AM16" s="52">
        <f t="shared" si="6"/>
        <v>7909665.674996324</v>
      </c>
      <c r="AN16" s="52">
        <f t="shared" si="6"/>
        <v>7909665.674996324</v>
      </c>
    </row>
    <row r="17" spans="2:40" ht="13.5" thickBot="1">
      <c r="B17" s="86" t="s">
        <v>272</v>
      </c>
      <c r="C17" s="87">
        <f>2000*4000</f>
        <v>8000000</v>
      </c>
      <c r="D17" s="87">
        <f aca="true" t="shared" si="7" ref="D17:AN17">2000*4000</f>
        <v>8000000</v>
      </c>
      <c r="E17" s="87">
        <f t="shared" si="7"/>
        <v>8000000</v>
      </c>
      <c r="F17" s="87">
        <f t="shared" si="7"/>
        <v>8000000</v>
      </c>
      <c r="G17" s="197">
        <f t="shared" si="7"/>
        <v>8000000</v>
      </c>
      <c r="H17" s="197">
        <f t="shared" si="7"/>
        <v>8000000</v>
      </c>
      <c r="I17" s="87">
        <f t="shared" si="7"/>
        <v>8000000</v>
      </c>
      <c r="J17" s="87">
        <f t="shared" si="7"/>
        <v>8000000</v>
      </c>
      <c r="K17" s="87">
        <f t="shared" si="7"/>
        <v>8000000</v>
      </c>
      <c r="L17" s="87">
        <f t="shared" si="7"/>
        <v>8000000</v>
      </c>
      <c r="M17" s="87">
        <f t="shared" si="7"/>
        <v>8000000</v>
      </c>
      <c r="N17" s="87">
        <f t="shared" si="7"/>
        <v>8000000</v>
      </c>
      <c r="O17" s="87">
        <f t="shared" si="7"/>
        <v>8000000</v>
      </c>
      <c r="P17" s="87">
        <f t="shared" si="7"/>
        <v>8000000</v>
      </c>
      <c r="Q17" s="87">
        <f t="shared" si="7"/>
        <v>8000000</v>
      </c>
      <c r="R17" s="87">
        <f t="shared" si="7"/>
        <v>8000000</v>
      </c>
      <c r="S17" s="87">
        <f t="shared" si="7"/>
        <v>8000000</v>
      </c>
      <c r="T17" s="87">
        <f t="shared" si="7"/>
        <v>8000000</v>
      </c>
      <c r="U17" s="87">
        <f t="shared" si="7"/>
        <v>8000000</v>
      </c>
      <c r="V17" s="87">
        <f t="shared" si="7"/>
        <v>8000000</v>
      </c>
      <c r="W17" s="87">
        <f t="shared" si="7"/>
        <v>8000000</v>
      </c>
      <c r="X17" s="87">
        <f t="shared" si="7"/>
        <v>8000000</v>
      </c>
      <c r="Y17" s="87">
        <f t="shared" si="7"/>
        <v>8000000</v>
      </c>
      <c r="Z17" s="87">
        <f t="shared" si="7"/>
        <v>8000000</v>
      </c>
      <c r="AA17" s="87">
        <f t="shared" si="7"/>
        <v>8000000</v>
      </c>
      <c r="AB17" s="87">
        <f t="shared" si="7"/>
        <v>8000000</v>
      </c>
      <c r="AC17" s="87">
        <f t="shared" si="7"/>
        <v>8000000</v>
      </c>
      <c r="AD17" s="87">
        <f t="shared" si="7"/>
        <v>8000000</v>
      </c>
      <c r="AE17" s="87">
        <f t="shared" si="7"/>
        <v>8000000</v>
      </c>
      <c r="AF17" s="87">
        <f t="shared" si="7"/>
        <v>8000000</v>
      </c>
      <c r="AG17" s="87">
        <f t="shared" si="7"/>
        <v>8000000</v>
      </c>
      <c r="AH17" s="87">
        <f t="shared" si="7"/>
        <v>8000000</v>
      </c>
      <c r="AI17" s="87">
        <f t="shared" si="7"/>
        <v>8000000</v>
      </c>
      <c r="AJ17" s="87">
        <f t="shared" si="7"/>
        <v>8000000</v>
      </c>
      <c r="AK17" s="87">
        <f t="shared" si="7"/>
        <v>8000000</v>
      </c>
      <c r="AL17" s="87">
        <f t="shared" si="7"/>
        <v>8000000</v>
      </c>
      <c r="AM17" s="87">
        <f t="shared" si="7"/>
        <v>8000000</v>
      </c>
      <c r="AN17" s="87">
        <f t="shared" si="7"/>
        <v>8000000</v>
      </c>
    </row>
    <row r="18" spans="1:40" ht="13.5" thickBot="1">
      <c r="A18" s="69"/>
      <c r="B18" s="77" t="s">
        <v>273</v>
      </c>
      <c r="C18" s="88">
        <f>C17-C16</f>
        <v>90334.32500367612</v>
      </c>
      <c r="D18" s="89">
        <f aca="true" t="shared" si="8" ref="D18:AN18">D17-D16</f>
        <v>90334.32500367612</v>
      </c>
      <c r="E18" s="89">
        <f t="shared" si="8"/>
        <v>90334.32500367612</v>
      </c>
      <c r="F18" s="89">
        <f t="shared" si="8"/>
        <v>90334.32500367612</v>
      </c>
      <c r="G18" s="198">
        <f t="shared" si="8"/>
        <v>90334.32500367612</v>
      </c>
      <c r="H18" s="198">
        <f t="shared" si="8"/>
        <v>90334.32500367612</v>
      </c>
      <c r="I18" s="89">
        <f t="shared" si="8"/>
        <v>90334.32500367612</v>
      </c>
      <c r="J18" s="89">
        <f t="shared" si="8"/>
        <v>90334.32500367612</v>
      </c>
      <c r="K18" s="89">
        <f t="shared" si="8"/>
        <v>90334.32500367612</v>
      </c>
      <c r="L18" s="89">
        <f t="shared" si="8"/>
        <v>90334.32500367612</v>
      </c>
      <c r="M18" s="89">
        <f t="shared" si="8"/>
        <v>90334.32500367612</v>
      </c>
      <c r="N18" s="89">
        <f t="shared" si="8"/>
        <v>90334.32500367612</v>
      </c>
      <c r="O18" s="89">
        <f t="shared" si="8"/>
        <v>90334.32500367612</v>
      </c>
      <c r="P18" s="89">
        <f t="shared" si="8"/>
        <v>90334.32500367612</v>
      </c>
      <c r="Q18" s="89">
        <f t="shared" si="8"/>
        <v>90334.32500367612</v>
      </c>
      <c r="R18" s="89">
        <f t="shared" si="8"/>
        <v>90334.32500367612</v>
      </c>
      <c r="S18" s="89">
        <f t="shared" si="8"/>
        <v>90334.32500367612</v>
      </c>
      <c r="T18" s="89">
        <f t="shared" si="8"/>
        <v>90334.32500367612</v>
      </c>
      <c r="U18" s="89">
        <f t="shared" si="8"/>
        <v>90334.32500367612</v>
      </c>
      <c r="V18" s="89">
        <f t="shared" si="8"/>
        <v>90334.32500367612</v>
      </c>
      <c r="W18" s="89">
        <f t="shared" si="8"/>
        <v>90334.32500367612</v>
      </c>
      <c r="X18" s="89">
        <f t="shared" si="8"/>
        <v>90334.32500367612</v>
      </c>
      <c r="Y18" s="89">
        <f t="shared" si="8"/>
        <v>90334.32500367612</v>
      </c>
      <c r="Z18" s="89">
        <f t="shared" si="8"/>
        <v>90334.32500367612</v>
      </c>
      <c r="AA18" s="89">
        <f t="shared" si="8"/>
        <v>90334.32500367612</v>
      </c>
      <c r="AB18" s="89">
        <f t="shared" si="8"/>
        <v>90334.32500367612</v>
      </c>
      <c r="AC18" s="89">
        <f t="shared" si="8"/>
        <v>90334.32500367612</v>
      </c>
      <c r="AD18" s="89">
        <f t="shared" si="8"/>
        <v>90334.32500367612</v>
      </c>
      <c r="AE18" s="89">
        <f t="shared" si="8"/>
        <v>90334.32500367612</v>
      </c>
      <c r="AF18" s="89">
        <f t="shared" si="8"/>
        <v>90334.32500367612</v>
      </c>
      <c r="AG18" s="89">
        <f t="shared" si="8"/>
        <v>90334.32500367612</v>
      </c>
      <c r="AH18" s="89">
        <f t="shared" si="8"/>
        <v>90334.32500367612</v>
      </c>
      <c r="AI18" s="89">
        <f t="shared" si="8"/>
        <v>90334.32500367612</v>
      </c>
      <c r="AJ18" s="89">
        <f t="shared" si="8"/>
        <v>90334.32500367612</v>
      </c>
      <c r="AK18" s="89">
        <f t="shared" si="8"/>
        <v>90334.32500367612</v>
      </c>
      <c r="AL18" s="89">
        <f t="shared" si="8"/>
        <v>90334.32500367612</v>
      </c>
      <c r="AM18" s="89">
        <f t="shared" si="8"/>
        <v>90334.32500367612</v>
      </c>
      <c r="AN18" s="90">
        <f t="shared" si="8"/>
        <v>90334.32500367612</v>
      </c>
    </row>
    <row r="19" spans="1:40" ht="12.75">
      <c r="A19" s="69"/>
      <c r="B19" s="77"/>
      <c r="C19" s="52"/>
      <c r="D19" s="52"/>
      <c r="E19" s="52"/>
      <c r="F19" s="52"/>
      <c r="G19" s="77"/>
      <c r="H19" s="77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spans="1:8" ht="12.75">
      <c r="A39" s="58" t="s">
        <v>546</v>
      </c>
      <c r="G39"/>
      <c r="H39"/>
    </row>
    <row r="40" spans="3:8" ht="12.75">
      <c r="C40" s="129" t="s">
        <v>215</v>
      </c>
      <c r="D40" s="13"/>
      <c r="E40" s="13"/>
      <c r="F40" s="14"/>
      <c r="G40" s="14"/>
      <c r="H40" s="13"/>
    </row>
    <row r="41" spans="3:9" ht="12.75">
      <c r="C41" s="130"/>
      <c r="D41" s="131" t="s">
        <v>324</v>
      </c>
      <c r="E41" s="131" t="s">
        <v>325</v>
      </c>
      <c r="F41" s="132" t="s">
        <v>326</v>
      </c>
      <c r="G41" s="132" t="s">
        <v>456</v>
      </c>
      <c r="H41" s="131" t="s">
        <v>327</v>
      </c>
      <c r="I41" s="131" t="s">
        <v>328</v>
      </c>
    </row>
    <row r="42" spans="3:9" ht="12.75">
      <c r="C42" s="133"/>
      <c r="D42" s="134" t="s">
        <v>327</v>
      </c>
      <c r="E42" s="134" t="s">
        <v>329</v>
      </c>
      <c r="F42" s="135" t="s">
        <v>330</v>
      </c>
      <c r="G42" s="135" t="s">
        <v>457</v>
      </c>
      <c r="H42" s="134" t="s">
        <v>325</v>
      </c>
      <c r="I42" s="134" t="s">
        <v>325</v>
      </c>
    </row>
    <row r="43" spans="3:9" ht="12.75">
      <c r="C43" s="136" t="s">
        <v>331</v>
      </c>
      <c r="D43" s="137" t="s">
        <v>332</v>
      </c>
      <c r="E43" s="138" t="s">
        <v>330</v>
      </c>
      <c r="F43" s="136" t="s">
        <v>450</v>
      </c>
      <c r="G43" s="136" t="s">
        <v>668</v>
      </c>
      <c r="H43" s="137" t="s">
        <v>373</v>
      </c>
      <c r="I43" s="137" t="s">
        <v>451</v>
      </c>
    </row>
    <row r="44" spans="3:9" ht="12.75">
      <c r="C44" s="139">
        <v>0</v>
      </c>
      <c r="D44" s="140" t="s">
        <v>215</v>
      </c>
      <c r="E44" s="140" t="s">
        <v>215</v>
      </c>
      <c r="F44" s="141" t="s">
        <v>215</v>
      </c>
      <c r="G44" s="139" t="s">
        <v>452</v>
      </c>
      <c r="H44" s="156" t="s">
        <v>215</v>
      </c>
      <c r="I44" s="156">
        <v>0</v>
      </c>
    </row>
    <row r="45" spans="3:9" ht="12.75">
      <c r="C45" s="142">
        <v>1</v>
      </c>
      <c r="D45" s="143">
        <v>1850</v>
      </c>
      <c r="E45" s="143">
        <v>2000</v>
      </c>
      <c r="F45" s="153">
        <f>E45-D45</f>
        <v>150</v>
      </c>
      <c r="G45" s="142" t="s">
        <v>453</v>
      </c>
      <c r="H45" s="153">
        <f>F45*4000</f>
        <v>600000</v>
      </c>
      <c r="I45" s="153">
        <f>PV(0.18/12,38-C45,-H45)</f>
        <v>16942276.439911563</v>
      </c>
    </row>
    <row r="46" spans="3:9" ht="12.75">
      <c r="C46" s="144">
        <v>2</v>
      </c>
      <c r="D46" s="145">
        <v>2100</v>
      </c>
      <c r="E46" s="145">
        <v>2000</v>
      </c>
      <c r="F46" s="154">
        <f>E46-D46</f>
        <v>-100</v>
      </c>
      <c r="G46" s="144" t="s">
        <v>454</v>
      </c>
      <c r="H46" s="154">
        <f>F46*4000</f>
        <v>-400000</v>
      </c>
      <c r="I46" s="154">
        <f>PV(0.18/12,38-C46,-H46)</f>
        <v>-11064273.724340163</v>
      </c>
    </row>
    <row r="47" spans="3:9" ht="12.75" customHeight="1">
      <c r="C47" s="146">
        <v>37</v>
      </c>
      <c r="D47" s="147">
        <v>1910</v>
      </c>
      <c r="E47" s="147">
        <v>2000</v>
      </c>
      <c r="F47" s="155">
        <f>E47-D47</f>
        <v>90</v>
      </c>
      <c r="G47" s="146" t="s">
        <v>752</v>
      </c>
      <c r="H47" s="155">
        <f>F47*4000</f>
        <v>360000</v>
      </c>
      <c r="I47" s="155">
        <f>PV(0.18/12,38-C47,-H47)</f>
        <v>354679.8029556628</v>
      </c>
    </row>
    <row r="48" ht="12.75" customHeight="1">
      <c r="A48" s="10" t="s">
        <v>164</v>
      </c>
    </row>
    <row r="49" spans="1:5" ht="12.75" customHeight="1">
      <c r="A49" s="15" t="s">
        <v>676</v>
      </c>
      <c r="B49" s="12"/>
      <c r="C49" s="13"/>
      <c r="D49" s="14"/>
      <c r="E49" s="14"/>
    </row>
    <row r="50" spans="1:4" ht="12.75" customHeight="1" thickBot="1">
      <c r="A50" s="12"/>
      <c r="B50" s="13"/>
      <c r="C50" s="14"/>
      <c r="D50" s="14"/>
    </row>
    <row r="51" spans="1:8" ht="12.75" customHeight="1" thickTop="1">
      <c r="A51" s="96" t="s">
        <v>668</v>
      </c>
      <c r="B51" s="19" t="s">
        <v>215</v>
      </c>
      <c r="C51" s="125" t="s">
        <v>743</v>
      </c>
      <c r="D51" s="19"/>
      <c r="E51" s="19"/>
      <c r="F51" s="20"/>
      <c r="G51" s="199"/>
      <c r="H51" s="200"/>
    </row>
    <row r="52" spans="1:9" ht="12.75" customHeight="1" thickBot="1">
      <c r="A52" s="40" t="s">
        <v>671</v>
      </c>
      <c r="B52" s="16"/>
      <c r="C52" s="124" t="s">
        <v>573</v>
      </c>
      <c r="D52" s="16"/>
      <c r="E52" s="16"/>
      <c r="F52" s="17"/>
      <c r="G52" s="201" t="s">
        <v>669</v>
      </c>
      <c r="H52" s="202" t="s">
        <v>670</v>
      </c>
      <c r="I52" s="11" t="s">
        <v>683</v>
      </c>
    </row>
    <row r="53" spans="1:9" ht="12.75" customHeight="1" thickTop="1">
      <c r="A53" s="37" t="s">
        <v>680</v>
      </c>
      <c r="B53" s="48" t="s">
        <v>271</v>
      </c>
      <c r="C53" s="49"/>
      <c r="D53" s="49"/>
      <c r="E53" s="49"/>
      <c r="F53" s="98"/>
      <c r="G53" s="203">
        <f>B9</f>
        <v>251000000</v>
      </c>
      <c r="H53" s="203">
        <v>0</v>
      </c>
      <c r="I53" s="52">
        <f>G53</f>
        <v>251000000</v>
      </c>
    </row>
    <row r="54" spans="1:9" s="10" customFormat="1" ht="12.75" customHeight="1">
      <c r="A54" s="26"/>
      <c r="B54" s="53"/>
      <c r="C54" s="53" t="s">
        <v>672</v>
      </c>
      <c r="D54" s="53"/>
      <c r="E54" s="53"/>
      <c r="F54" s="53"/>
      <c r="G54" s="204">
        <v>0</v>
      </c>
      <c r="H54" s="204">
        <f>G53</f>
        <v>251000000</v>
      </c>
      <c r="I54" s="52">
        <f>-H54</f>
        <v>-251000000</v>
      </c>
    </row>
    <row r="55" spans="1:9" s="10" customFormat="1" ht="12.75" customHeight="1">
      <c r="A55" s="26"/>
      <c r="B55" s="56" t="s">
        <v>745</v>
      </c>
      <c r="C55" s="53"/>
      <c r="D55" s="53"/>
      <c r="E55" s="53"/>
      <c r="F55" s="53"/>
      <c r="G55" s="204"/>
      <c r="H55" s="204"/>
      <c r="I55" s="52"/>
    </row>
    <row r="56" spans="1:9" s="10" customFormat="1" ht="12.75" customHeight="1">
      <c r="A56" s="26"/>
      <c r="B56" s="56"/>
      <c r="C56" s="53"/>
      <c r="D56" s="53"/>
      <c r="E56" s="53"/>
      <c r="F56" s="53"/>
      <c r="G56" s="204"/>
      <c r="H56" s="204"/>
      <c r="I56" s="52"/>
    </row>
    <row r="57" spans="1:9" ht="12.75" customHeight="1">
      <c r="A57" s="211" t="s">
        <v>680</v>
      </c>
      <c r="B57" s="63" t="s">
        <v>673</v>
      </c>
      <c r="C57" s="212"/>
      <c r="D57" s="212"/>
      <c r="E57" s="212"/>
      <c r="F57" s="213"/>
      <c r="G57" s="214">
        <v>0</v>
      </c>
      <c r="H57" s="214">
        <v>0</v>
      </c>
      <c r="I57" s="215">
        <f>G57</f>
        <v>0</v>
      </c>
    </row>
    <row r="58" spans="1:9" s="10" customFormat="1" ht="12.75" customHeight="1">
      <c r="A58" s="216"/>
      <c r="B58" s="63"/>
      <c r="C58" s="4" t="s">
        <v>672</v>
      </c>
      <c r="D58" s="63"/>
      <c r="E58" s="63"/>
      <c r="F58" s="63"/>
      <c r="G58" s="214">
        <v>0</v>
      </c>
      <c r="H58" s="214">
        <v>0</v>
      </c>
      <c r="I58" s="215">
        <f>I54+G58</f>
        <v>-251000000</v>
      </c>
    </row>
    <row r="59" spans="1:9" s="10" customFormat="1" ht="12.75" customHeight="1" thickBot="1">
      <c r="A59" s="191"/>
      <c r="B59" s="217" t="s">
        <v>674</v>
      </c>
      <c r="C59" s="192"/>
      <c r="D59" s="192"/>
      <c r="E59" s="192"/>
      <c r="F59" s="192"/>
      <c r="G59" s="205"/>
      <c r="H59" s="205"/>
      <c r="I59" s="52"/>
    </row>
    <row r="60" spans="1:9" s="10" customFormat="1" ht="12.75" customHeight="1" thickTop="1">
      <c r="A60" s="26"/>
      <c r="B60" s="53" t="s">
        <v>215</v>
      </c>
      <c r="C60" s="53"/>
      <c r="D60" s="53"/>
      <c r="E60" s="53"/>
      <c r="F60" s="53"/>
      <c r="G60" s="204"/>
      <c r="H60" s="204"/>
      <c r="I60" s="52"/>
    </row>
    <row r="61" spans="1:9" s="10" customFormat="1" ht="12.75" customHeight="1">
      <c r="A61" s="37" t="s">
        <v>749</v>
      </c>
      <c r="B61" s="53" t="s">
        <v>672</v>
      </c>
      <c r="C61" s="53"/>
      <c r="D61" s="53"/>
      <c r="E61" s="53"/>
      <c r="F61" s="53"/>
      <c r="G61" s="204">
        <f>C$17</f>
        <v>8000000</v>
      </c>
      <c r="H61" s="204">
        <v>0</v>
      </c>
      <c r="I61" s="52">
        <f>I54+G61</f>
        <v>-243000000</v>
      </c>
    </row>
    <row r="62" spans="1:9" s="10" customFormat="1" ht="12.75" customHeight="1">
      <c r="A62" s="37"/>
      <c r="B62" s="53"/>
      <c r="C62" s="53" t="s">
        <v>271</v>
      </c>
      <c r="D62" s="53"/>
      <c r="E62" s="53"/>
      <c r="F62" s="53"/>
      <c r="G62" s="204"/>
      <c r="H62" s="77">
        <f>C$14</f>
        <v>5508432.341662991</v>
      </c>
      <c r="I62" s="52">
        <f>I53-H62</f>
        <v>245491567.658337</v>
      </c>
    </row>
    <row r="63" spans="1:9" s="10" customFormat="1" ht="12.75" customHeight="1">
      <c r="A63" s="37"/>
      <c r="B63" s="53"/>
      <c r="C63" s="53" t="s">
        <v>747</v>
      </c>
      <c r="D63" s="53"/>
      <c r="E63" s="53"/>
      <c r="F63" s="53"/>
      <c r="G63" s="204"/>
      <c r="H63" s="204">
        <f>C$18</f>
        <v>90334.32500367612</v>
      </c>
      <c r="I63" s="52">
        <f>-H63</f>
        <v>-90334.32500367612</v>
      </c>
    </row>
    <row r="64" spans="1:9" s="10" customFormat="1" ht="12.75" customHeight="1">
      <c r="A64" s="38"/>
      <c r="B64" s="53"/>
      <c r="C64" s="2" t="s">
        <v>742</v>
      </c>
      <c r="D64" s="53"/>
      <c r="E64" s="53"/>
      <c r="F64" s="53"/>
      <c r="G64" s="204" t="s">
        <v>215</v>
      </c>
      <c r="H64" s="204">
        <f>G61-H62-H63</f>
        <v>2401233.333333333</v>
      </c>
      <c r="I64" s="52">
        <f>-H64</f>
        <v>-2401233.333333333</v>
      </c>
    </row>
    <row r="65" spans="1:9" s="10" customFormat="1" ht="12.75" customHeight="1">
      <c r="A65" s="38"/>
      <c r="B65" s="56" t="s">
        <v>744</v>
      </c>
      <c r="C65" s="53"/>
      <c r="D65" s="53"/>
      <c r="E65" s="53"/>
      <c r="F65" s="53"/>
      <c r="G65" s="204"/>
      <c r="H65" s="204"/>
      <c r="I65" s="52"/>
    </row>
    <row r="66" spans="1:9" s="10" customFormat="1" ht="12.75" customHeight="1">
      <c r="A66" s="38"/>
      <c r="B66" s="56"/>
      <c r="C66" s="53"/>
      <c r="D66" s="53"/>
      <c r="E66" s="53"/>
      <c r="F66" s="53"/>
      <c r="G66" s="204"/>
      <c r="H66" s="204"/>
      <c r="I66" s="52"/>
    </row>
    <row r="67" spans="1:9" s="10" customFormat="1" ht="12.75" customHeight="1">
      <c r="A67" s="37" t="str">
        <f>A61</f>
        <v>Month 1</v>
      </c>
      <c r="B67" s="53" t="s">
        <v>747</v>
      </c>
      <c r="C67" s="53"/>
      <c r="D67" s="53"/>
      <c r="E67" s="53"/>
      <c r="F67" s="53"/>
      <c r="G67" s="204">
        <f>-I63</f>
        <v>90334.32500367612</v>
      </c>
      <c r="H67" s="204"/>
      <c r="I67" s="52">
        <f>G67+I63</f>
        <v>0</v>
      </c>
    </row>
    <row r="68" spans="1:9" s="10" customFormat="1" ht="12.75" customHeight="1">
      <c r="A68" s="38"/>
      <c r="B68" s="56"/>
      <c r="C68" s="53" t="s">
        <v>672</v>
      </c>
      <c r="D68" s="53"/>
      <c r="E68" s="53"/>
      <c r="F68" s="53"/>
      <c r="G68" s="204"/>
      <c r="H68" s="204">
        <f>G67</f>
        <v>90334.32500367612</v>
      </c>
      <c r="I68" s="52">
        <f>H68+I61</f>
        <v>-242909665.67499632</v>
      </c>
    </row>
    <row r="69" spans="1:9" s="10" customFormat="1" ht="12.75" customHeight="1">
      <c r="A69" s="38"/>
      <c r="B69" s="56" t="s">
        <v>748</v>
      </c>
      <c r="C69" s="53"/>
      <c r="D69" s="53"/>
      <c r="E69" s="53"/>
      <c r="F69" s="53"/>
      <c r="G69" s="204"/>
      <c r="H69" s="204"/>
      <c r="I69" s="52"/>
    </row>
    <row r="70" spans="1:9" s="10" customFormat="1" ht="12.75" customHeight="1">
      <c r="A70" s="38"/>
      <c r="B70" s="53"/>
      <c r="C70" s="53"/>
      <c r="D70" s="53"/>
      <c r="E70" s="53"/>
      <c r="F70" s="53"/>
      <c r="G70" s="204"/>
      <c r="H70" s="204"/>
      <c r="I70" s="52"/>
    </row>
    <row r="71" spans="1:9" s="10" customFormat="1" ht="12.75" customHeight="1">
      <c r="A71" s="211" t="str">
        <f>A61</f>
        <v>Month 1</v>
      </c>
      <c r="B71" s="63" t="s">
        <v>673</v>
      </c>
      <c r="C71" s="63"/>
      <c r="D71" s="63"/>
      <c r="E71" s="63"/>
      <c r="F71" s="218"/>
      <c r="G71" s="214">
        <f>I45</f>
        <v>16942276.439911563</v>
      </c>
      <c r="H71" s="214" t="s">
        <v>215</v>
      </c>
      <c r="I71" s="215">
        <f>G71</f>
        <v>16942276.439911563</v>
      </c>
    </row>
    <row r="72" spans="1:9" s="10" customFormat="1" ht="12.75" customHeight="1">
      <c r="A72" s="219"/>
      <c r="B72" s="220"/>
      <c r="C72" s="63" t="s">
        <v>746</v>
      </c>
      <c r="D72" s="63"/>
      <c r="E72" s="63"/>
      <c r="F72" s="218"/>
      <c r="G72" s="214" t="s">
        <v>215</v>
      </c>
      <c r="H72" s="214">
        <f>G71</f>
        <v>16942276.439911563</v>
      </c>
      <c r="I72" s="215">
        <f>-H72</f>
        <v>-16942276.439911563</v>
      </c>
    </row>
    <row r="73" spans="1:9" s="10" customFormat="1" ht="12.75" customHeight="1">
      <c r="A73" s="219"/>
      <c r="B73" s="220" t="s">
        <v>458</v>
      </c>
      <c r="C73" s="63"/>
      <c r="D73" s="63"/>
      <c r="E73" s="63"/>
      <c r="F73" s="218"/>
      <c r="G73" s="214"/>
      <c r="H73" s="214"/>
      <c r="I73" s="215"/>
    </row>
    <row r="74" spans="1:9" ht="12.75" customHeight="1">
      <c r="A74" s="26"/>
      <c r="B74" s="56"/>
      <c r="C74" s="53"/>
      <c r="D74" s="53"/>
      <c r="E74" s="53"/>
      <c r="F74" s="53"/>
      <c r="G74" s="204"/>
      <c r="H74" s="204"/>
      <c r="I74" s="52"/>
    </row>
    <row r="75" spans="1:9" ht="12.75" customHeight="1">
      <c r="A75" s="37" t="str">
        <f>A61</f>
        <v>Month 1</v>
      </c>
      <c r="B75" s="2" t="s">
        <v>742</v>
      </c>
      <c r="C75" s="53"/>
      <c r="D75" s="53"/>
      <c r="E75" s="53"/>
      <c r="F75" s="53"/>
      <c r="G75" s="204">
        <f>-I64</f>
        <v>2401233.333333333</v>
      </c>
      <c r="H75" s="204" t="s">
        <v>215</v>
      </c>
      <c r="I75" s="52">
        <f>I64+G75</f>
        <v>0</v>
      </c>
    </row>
    <row r="76" spans="1:9" ht="12.75" customHeight="1">
      <c r="A76" s="26"/>
      <c r="B76" s="56"/>
      <c r="C76" s="53" t="s">
        <v>679</v>
      </c>
      <c r="D76" s="53"/>
      <c r="E76" s="53"/>
      <c r="F76" s="53"/>
      <c r="G76" s="204" t="s">
        <v>215</v>
      </c>
      <c r="H76" s="204">
        <f>G75</f>
        <v>2401233.333333333</v>
      </c>
      <c r="I76" s="52">
        <f>-H76</f>
        <v>-2401233.333333333</v>
      </c>
    </row>
    <row r="77" spans="1:9" ht="12.75" customHeight="1">
      <c r="A77" s="26"/>
      <c r="B77" s="56" t="s">
        <v>642</v>
      </c>
      <c r="C77" s="53"/>
      <c r="D77" s="53"/>
      <c r="E77" s="53"/>
      <c r="F77" s="53"/>
      <c r="G77" s="204"/>
      <c r="H77" s="204"/>
      <c r="I77" s="57"/>
    </row>
    <row r="78" spans="1:9" ht="12.75" customHeight="1" thickBot="1">
      <c r="A78" s="27"/>
      <c r="B78" s="33"/>
      <c r="C78" s="34"/>
      <c r="D78" s="34"/>
      <c r="E78" s="34"/>
      <c r="F78" s="34"/>
      <c r="G78" s="206"/>
      <c r="H78" s="206"/>
      <c r="I78" s="11"/>
    </row>
    <row r="79" spans="1:9" ht="12.75" customHeight="1">
      <c r="A79" s="31"/>
      <c r="B79" s="59"/>
      <c r="C79" s="31"/>
      <c r="D79" s="31"/>
      <c r="E79" s="31"/>
      <c r="F79" s="31"/>
      <c r="G79" s="207"/>
      <c r="H79" s="207"/>
      <c r="I79" s="11"/>
    </row>
    <row r="80" ht="12.75"/>
    <row r="81" spans="1:9" s="10" customFormat="1" ht="12.75" customHeight="1" thickBot="1">
      <c r="A81" s="191"/>
      <c r="B81" s="192" t="s">
        <v>215</v>
      </c>
      <c r="C81" s="192"/>
      <c r="D81" s="192"/>
      <c r="E81" s="192"/>
      <c r="F81" s="192"/>
      <c r="G81" s="208" t="s">
        <v>669</v>
      </c>
      <c r="H81" s="209" t="s">
        <v>670</v>
      </c>
      <c r="I81" s="210" t="s">
        <v>683</v>
      </c>
    </row>
    <row r="82" spans="1:9" s="10" customFormat="1" ht="12.75" customHeight="1" thickTop="1">
      <c r="A82" s="26"/>
      <c r="B82" s="53" t="s">
        <v>215</v>
      </c>
      <c r="C82" s="53"/>
      <c r="D82" s="53"/>
      <c r="E82" s="53"/>
      <c r="F82" s="53"/>
      <c r="G82" s="204"/>
      <c r="H82" s="204"/>
      <c r="I82" s="52"/>
    </row>
    <row r="83" spans="1:9" s="10" customFormat="1" ht="12.75" customHeight="1">
      <c r="A83" s="37" t="s">
        <v>750</v>
      </c>
      <c r="B83" s="53" t="s">
        <v>672</v>
      </c>
      <c r="C83" s="53"/>
      <c r="D83" s="53"/>
      <c r="E83" s="53"/>
      <c r="F83" s="53"/>
      <c r="G83" s="204">
        <f>D$17</f>
        <v>8000000</v>
      </c>
      <c r="H83" s="204" t="s">
        <v>215</v>
      </c>
      <c r="I83" s="52">
        <f>I68+G83</f>
        <v>-234909665.67499632</v>
      </c>
    </row>
    <row r="84" spans="1:9" s="10" customFormat="1" ht="12.75" customHeight="1">
      <c r="A84" s="37"/>
      <c r="B84" s="53"/>
      <c r="C84" s="53" t="s">
        <v>271</v>
      </c>
      <c r="D84" s="53"/>
      <c r="E84" s="53"/>
      <c r="F84" s="53"/>
      <c r="G84" s="204"/>
      <c r="H84" s="77">
        <f>D$14</f>
        <v>5561129.677731567</v>
      </c>
      <c r="I84" s="52">
        <f>I62-H84</f>
        <v>239930437.98060542</v>
      </c>
    </row>
    <row r="85" spans="1:9" s="10" customFormat="1" ht="12.75" customHeight="1">
      <c r="A85" s="37"/>
      <c r="B85" s="53"/>
      <c r="C85" s="53" t="s">
        <v>747</v>
      </c>
      <c r="D85" s="53"/>
      <c r="E85" s="53"/>
      <c r="F85" s="53"/>
      <c r="G85" s="204"/>
      <c r="H85" s="204">
        <f>D$18</f>
        <v>90334.32500367612</v>
      </c>
      <c r="I85" s="52">
        <f>-H85</f>
        <v>-90334.32500367612</v>
      </c>
    </row>
    <row r="86" spans="1:9" s="10" customFormat="1" ht="12.75" customHeight="1">
      <c r="A86" s="38"/>
      <c r="B86" s="53"/>
      <c r="C86" s="2" t="s">
        <v>742</v>
      </c>
      <c r="D86" s="53"/>
      <c r="E86" s="53"/>
      <c r="F86" s="53"/>
      <c r="G86" s="204" t="s">
        <v>215</v>
      </c>
      <c r="H86" s="204">
        <f>G83-H84-H85</f>
        <v>2348535.997264757</v>
      </c>
      <c r="I86" s="52">
        <f>-H86</f>
        <v>-2348535.997264757</v>
      </c>
    </row>
    <row r="87" spans="1:9" s="10" customFormat="1" ht="12.75" customHeight="1">
      <c r="A87" s="38"/>
      <c r="B87" s="56" t="s">
        <v>744</v>
      </c>
      <c r="C87" s="53"/>
      <c r="D87" s="53"/>
      <c r="E87" s="53"/>
      <c r="F87" s="53"/>
      <c r="G87" s="204"/>
      <c r="H87" s="204"/>
      <c r="I87" s="52"/>
    </row>
    <row r="88" spans="1:9" s="10" customFormat="1" ht="12.75" customHeight="1">
      <c r="A88" s="38"/>
      <c r="B88" s="56"/>
      <c r="C88" s="53"/>
      <c r="D88" s="53"/>
      <c r="E88" s="53"/>
      <c r="F88" s="53"/>
      <c r="G88" s="204"/>
      <c r="H88" s="204"/>
      <c r="I88" s="52"/>
    </row>
    <row r="89" spans="1:9" s="10" customFormat="1" ht="12.75" customHeight="1">
      <c r="A89" s="37" t="str">
        <f>A83</f>
        <v>Month 2</v>
      </c>
      <c r="B89" s="53" t="s">
        <v>747</v>
      </c>
      <c r="C89" s="53"/>
      <c r="D89" s="53"/>
      <c r="E89" s="53"/>
      <c r="F89" s="53"/>
      <c r="G89" s="204">
        <f>-I85</f>
        <v>90334.32500367612</v>
      </c>
      <c r="H89" s="204"/>
      <c r="I89" s="52">
        <f>G89+I85</f>
        <v>0</v>
      </c>
    </row>
    <row r="90" spans="1:9" s="10" customFormat="1" ht="12.75" customHeight="1">
      <c r="A90" s="38"/>
      <c r="B90" s="56"/>
      <c r="C90" s="53" t="s">
        <v>672</v>
      </c>
      <c r="D90" s="53"/>
      <c r="E90" s="53"/>
      <c r="F90" s="53"/>
      <c r="G90" s="204"/>
      <c r="H90" s="204">
        <f>G89</f>
        <v>90334.32500367612</v>
      </c>
      <c r="I90" s="52">
        <f>H90+I83</f>
        <v>-234819331.34999263</v>
      </c>
    </row>
    <row r="91" spans="1:9" s="10" customFormat="1" ht="12.75" customHeight="1">
      <c r="A91" s="38"/>
      <c r="B91" s="56" t="s">
        <v>748</v>
      </c>
      <c r="C91" s="53"/>
      <c r="D91" s="53"/>
      <c r="E91" s="53"/>
      <c r="F91" s="53"/>
      <c r="G91" s="204"/>
      <c r="H91" s="204"/>
      <c r="I91" s="52"/>
    </row>
    <row r="92" spans="1:9" s="10" customFormat="1" ht="12.75" customHeight="1">
      <c r="A92" s="38"/>
      <c r="B92" s="53"/>
      <c r="C92" s="53"/>
      <c r="D92" s="53"/>
      <c r="E92" s="53"/>
      <c r="F92" s="53"/>
      <c r="G92" s="204"/>
      <c r="H92" s="204"/>
      <c r="I92" s="52"/>
    </row>
    <row r="93" spans="1:9" s="10" customFormat="1" ht="12.75" customHeight="1">
      <c r="A93" s="211" t="str">
        <f>A83</f>
        <v>Month 2</v>
      </c>
      <c r="B93" s="63" t="s">
        <v>746</v>
      </c>
      <c r="C93" s="63"/>
      <c r="D93" s="63"/>
      <c r="E93" s="63"/>
      <c r="F93" s="218"/>
      <c r="G93" s="214">
        <f>H94</f>
        <v>28006550.164251726</v>
      </c>
      <c r="H93" s="214" t="s">
        <v>215</v>
      </c>
      <c r="I93" s="215">
        <f>-I46</f>
        <v>11064273.724340163</v>
      </c>
    </row>
    <row r="94" spans="1:9" s="10" customFormat="1" ht="12.75" customHeight="1">
      <c r="A94" s="219"/>
      <c r="B94" s="220"/>
      <c r="C94" s="63" t="s">
        <v>673</v>
      </c>
      <c r="D94" s="63"/>
      <c r="E94" s="63"/>
      <c r="F94" s="218"/>
      <c r="G94" s="214" t="str">
        <f>H93</f>
        <v> </v>
      </c>
      <c r="H94" s="214">
        <f>I71-I94</f>
        <v>28006550.164251726</v>
      </c>
      <c r="I94" s="215">
        <f>I46</f>
        <v>-11064273.724340163</v>
      </c>
    </row>
    <row r="95" spans="1:9" s="10" customFormat="1" ht="12.75" customHeight="1">
      <c r="A95" s="219"/>
      <c r="B95" s="220" t="s">
        <v>458</v>
      </c>
      <c r="C95" s="63"/>
      <c r="D95" s="63"/>
      <c r="E95" s="63"/>
      <c r="F95" s="218"/>
      <c r="G95" s="214"/>
      <c r="H95" s="214"/>
      <c r="I95" s="215"/>
    </row>
    <row r="96" spans="1:9" ht="12.75" customHeight="1">
      <c r="A96" s="26"/>
      <c r="B96" s="56"/>
      <c r="C96" s="53"/>
      <c r="D96" s="53"/>
      <c r="E96" s="53"/>
      <c r="F96" s="53"/>
      <c r="G96" s="204"/>
      <c r="H96" s="204"/>
      <c r="I96" s="52"/>
    </row>
    <row r="97" spans="1:9" ht="12.75" customHeight="1">
      <c r="A97" s="37" t="str">
        <f>A83</f>
        <v>Month 2</v>
      </c>
      <c r="B97" s="2" t="s">
        <v>742</v>
      </c>
      <c r="C97" s="53"/>
      <c r="D97" s="53"/>
      <c r="E97" s="53"/>
      <c r="F97" s="53"/>
      <c r="G97" s="204">
        <f>-I86</f>
        <v>2348535.997264757</v>
      </c>
      <c r="H97" s="204" t="s">
        <v>215</v>
      </c>
      <c r="I97" s="52">
        <f>I86+G97</f>
        <v>0</v>
      </c>
    </row>
    <row r="98" spans="1:9" ht="12.75" customHeight="1">
      <c r="A98" s="26"/>
      <c r="B98" s="56"/>
      <c r="C98" s="53" t="s">
        <v>679</v>
      </c>
      <c r="D98" s="53"/>
      <c r="E98" s="53"/>
      <c r="F98" s="53"/>
      <c r="G98" s="204" t="s">
        <v>215</v>
      </c>
      <c r="H98" s="204">
        <f>G97</f>
        <v>2348535.997264757</v>
      </c>
      <c r="I98" s="52">
        <f>I76-H98</f>
        <v>-4749769.33059809</v>
      </c>
    </row>
    <row r="99" spans="1:9" ht="12.75" customHeight="1">
      <c r="A99" s="26"/>
      <c r="B99" s="56" t="s">
        <v>642</v>
      </c>
      <c r="C99" s="53"/>
      <c r="D99" s="53"/>
      <c r="E99" s="53"/>
      <c r="F99" s="53"/>
      <c r="G99" s="204"/>
      <c r="H99" s="204"/>
      <c r="I99" s="57"/>
    </row>
    <row r="100" spans="1:9" ht="12.75" customHeight="1" thickBot="1">
      <c r="A100" s="27"/>
      <c r="B100" s="33"/>
      <c r="C100" s="34"/>
      <c r="D100" s="34"/>
      <c r="E100" s="34"/>
      <c r="F100" s="34"/>
      <c r="G100" s="206"/>
      <c r="H100" s="206"/>
      <c r="I100" s="11"/>
    </row>
    <row r="101" spans="1:9" ht="12.75" customHeight="1">
      <c r="A101" s="31"/>
      <c r="B101" s="59"/>
      <c r="C101" s="31"/>
      <c r="D101" s="31"/>
      <c r="E101" s="31"/>
      <c r="F101" s="31"/>
      <c r="G101" s="207"/>
      <c r="H101" s="207"/>
      <c r="I101" s="11"/>
    </row>
    <row r="102" spans="1:9" s="10" customFormat="1" ht="12.75" customHeight="1" thickBot="1">
      <c r="A102" s="191"/>
      <c r="B102" s="192" t="s">
        <v>215</v>
      </c>
      <c r="C102" s="192"/>
      <c r="D102" s="192"/>
      <c r="E102" s="192"/>
      <c r="F102" s="192"/>
      <c r="G102" s="208" t="s">
        <v>669</v>
      </c>
      <c r="H102" s="209" t="s">
        <v>670</v>
      </c>
      <c r="I102" s="210" t="s">
        <v>683</v>
      </c>
    </row>
    <row r="103" spans="1:9" s="10" customFormat="1" ht="12.75" customHeight="1" thickTop="1">
      <c r="A103" s="37" t="s">
        <v>751</v>
      </c>
      <c r="B103" s="53" t="s">
        <v>672</v>
      </c>
      <c r="C103" s="53"/>
      <c r="D103" s="53"/>
      <c r="E103" s="53"/>
      <c r="F103" s="53"/>
      <c r="G103" s="204">
        <f>C$17</f>
        <v>8000000</v>
      </c>
      <c r="H103" s="204">
        <v>0</v>
      </c>
      <c r="I103" s="52">
        <f>G103+C16*37</f>
        <v>300657629.974864</v>
      </c>
    </row>
    <row r="104" spans="1:9" s="10" customFormat="1" ht="12.75" customHeight="1">
      <c r="A104" s="37"/>
      <c r="B104" s="53"/>
      <c r="C104" s="53" t="s">
        <v>271</v>
      </c>
      <c r="D104" s="53"/>
      <c r="E104" s="53"/>
      <c r="F104" s="53"/>
      <c r="G104" s="204"/>
      <c r="H104" s="77">
        <f>AN$14</f>
        <v>7834713.581731097</v>
      </c>
      <c r="I104" s="52">
        <v>0</v>
      </c>
    </row>
    <row r="105" spans="1:9" s="10" customFormat="1" ht="12.75" customHeight="1">
      <c r="A105" s="37"/>
      <c r="B105" s="53"/>
      <c r="C105" s="53" t="s">
        <v>747</v>
      </c>
      <c r="D105" s="53"/>
      <c r="E105" s="53"/>
      <c r="F105" s="53"/>
      <c r="G105" s="204"/>
      <c r="H105" s="204">
        <f>AN$18</f>
        <v>90334.32500367612</v>
      </c>
      <c r="I105" s="52">
        <f>-H105</f>
        <v>-90334.32500367612</v>
      </c>
    </row>
    <row r="106" spans="1:9" s="10" customFormat="1" ht="12.75" customHeight="1">
      <c r="A106" s="38"/>
      <c r="B106" s="53"/>
      <c r="C106" s="2" t="s">
        <v>742</v>
      </c>
      <c r="D106" s="53"/>
      <c r="E106" s="53"/>
      <c r="F106" s="53"/>
      <c r="G106" s="204" t="s">
        <v>215</v>
      </c>
      <c r="H106" s="204">
        <f>G103-H104-H105</f>
        <v>74952.09326522704</v>
      </c>
      <c r="I106" s="52">
        <f>-H106</f>
        <v>-74952.09326522704</v>
      </c>
    </row>
    <row r="107" spans="1:9" s="10" customFormat="1" ht="12.75" customHeight="1">
      <c r="A107" s="38"/>
      <c r="B107" s="56" t="s">
        <v>744</v>
      </c>
      <c r="C107" s="53"/>
      <c r="D107" s="53"/>
      <c r="E107" s="53"/>
      <c r="F107" s="53"/>
      <c r="G107" s="204"/>
      <c r="H107" s="204"/>
      <c r="I107" s="52"/>
    </row>
    <row r="108" spans="1:9" s="10" customFormat="1" ht="12.75" customHeight="1">
      <c r="A108" s="38"/>
      <c r="B108" s="56"/>
      <c r="C108" s="53"/>
      <c r="D108" s="53"/>
      <c r="E108" s="53"/>
      <c r="F108" s="53"/>
      <c r="G108" s="204"/>
      <c r="H108" s="204"/>
      <c r="I108" s="52"/>
    </row>
    <row r="109" spans="1:9" s="10" customFormat="1" ht="12.75" customHeight="1">
      <c r="A109" s="37" t="str">
        <f>A103</f>
        <v>Month 38</v>
      </c>
      <c r="B109" s="53" t="s">
        <v>747</v>
      </c>
      <c r="C109" s="53"/>
      <c r="D109" s="53"/>
      <c r="E109" s="53"/>
      <c r="F109" s="53"/>
      <c r="G109" s="204">
        <f>-I105</f>
        <v>90334.32500367612</v>
      </c>
      <c r="H109" s="204"/>
      <c r="I109" s="52">
        <f>G109+I105</f>
        <v>0</v>
      </c>
    </row>
    <row r="110" spans="1:9" s="10" customFormat="1" ht="12.75" customHeight="1">
      <c r="A110" s="38"/>
      <c r="B110" s="56"/>
      <c r="C110" s="53" t="s">
        <v>672</v>
      </c>
      <c r="D110" s="53"/>
      <c r="E110" s="53"/>
      <c r="F110" s="53"/>
      <c r="G110" s="204"/>
      <c r="H110" s="204">
        <f>G109</f>
        <v>90334.32500367612</v>
      </c>
      <c r="I110" s="52">
        <f>I103-H110</f>
        <v>300567295.6498603</v>
      </c>
    </row>
    <row r="111" spans="1:9" s="10" customFormat="1" ht="12.75" customHeight="1">
      <c r="A111" s="38"/>
      <c r="B111" s="56" t="s">
        <v>748</v>
      </c>
      <c r="C111" s="53"/>
      <c r="D111" s="53"/>
      <c r="E111" s="53"/>
      <c r="F111" s="53"/>
      <c r="G111" s="204"/>
      <c r="H111" s="204"/>
      <c r="I111" s="52"/>
    </row>
    <row r="112" spans="1:9" s="10" customFormat="1" ht="12.75" customHeight="1">
      <c r="A112" s="38"/>
      <c r="B112" s="53"/>
      <c r="C112" s="53"/>
      <c r="D112" s="53"/>
      <c r="E112" s="53"/>
      <c r="F112" s="53"/>
      <c r="G112" s="204"/>
      <c r="H112" s="204"/>
      <c r="I112" s="52"/>
    </row>
    <row r="113" spans="1:9" s="10" customFormat="1" ht="12.75" customHeight="1">
      <c r="A113" s="211" t="str">
        <f>A103</f>
        <v>Month 38</v>
      </c>
      <c r="B113" s="63" t="s">
        <v>746</v>
      </c>
      <c r="C113" s="63"/>
      <c r="D113" s="63"/>
      <c r="E113" s="63"/>
      <c r="F113" s="218"/>
      <c r="G113" s="221">
        <f>H114</f>
        <v>354679.8029556628</v>
      </c>
      <c r="H113" s="214" t="s">
        <v>215</v>
      </c>
      <c r="I113" s="215">
        <v>0</v>
      </c>
    </row>
    <row r="114" spans="1:9" s="10" customFormat="1" ht="12.75" customHeight="1">
      <c r="A114" s="219"/>
      <c r="B114" s="220"/>
      <c r="C114" s="63" t="s">
        <v>673</v>
      </c>
      <c r="D114" s="63"/>
      <c r="E114" s="63"/>
      <c r="F114" s="218"/>
      <c r="G114" s="214" t="s">
        <v>215</v>
      </c>
      <c r="H114" s="214">
        <f>I47</f>
        <v>354679.8029556628</v>
      </c>
      <c r="I114" s="215">
        <v>0</v>
      </c>
    </row>
    <row r="115" spans="1:9" s="10" customFormat="1" ht="12.75" customHeight="1">
      <c r="A115" s="219"/>
      <c r="B115" s="220" t="s">
        <v>458</v>
      </c>
      <c r="C115" s="63"/>
      <c r="D115" s="63"/>
      <c r="E115" s="63"/>
      <c r="F115" s="218"/>
      <c r="G115" s="214"/>
      <c r="H115" s="214"/>
      <c r="I115" s="215"/>
    </row>
    <row r="116" spans="1:9" ht="12.75" customHeight="1">
      <c r="A116" s="26"/>
      <c r="B116" s="56"/>
      <c r="C116" s="53"/>
      <c r="D116" s="53"/>
      <c r="E116" s="53"/>
      <c r="F116" s="53"/>
      <c r="G116" s="204"/>
      <c r="H116" s="204"/>
      <c r="I116" s="52"/>
    </row>
    <row r="117" spans="1:9" ht="12.75" customHeight="1">
      <c r="A117" s="37" t="str">
        <f>A103</f>
        <v>Month 38</v>
      </c>
      <c r="B117" s="2" t="s">
        <v>742</v>
      </c>
      <c r="C117" s="53"/>
      <c r="D117" s="53"/>
      <c r="E117" s="53"/>
      <c r="F117" s="53"/>
      <c r="G117" s="204">
        <f>-I106</f>
        <v>74952.09326522704</v>
      </c>
      <c r="H117" s="204" t="s">
        <v>215</v>
      </c>
      <c r="I117" s="52">
        <f>I106+G117</f>
        <v>0</v>
      </c>
    </row>
    <row r="118" spans="1:9" ht="12.75" customHeight="1">
      <c r="A118" s="26"/>
      <c r="B118" s="56"/>
      <c r="C118" s="53" t="s">
        <v>679</v>
      </c>
      <c r="D118" s="53"/>
      <c r="E118" s="53"/>
      <c r="F118" s="53"/>
      <c r="G118" s="204" t="s">
        <v>215</v>
      </c>
      <c r="H118" s="204">
        <f>G117</f>
        <v>74952.09326522704</v>
      </c>
      <c r="I118" s="52">
        <f>I110-B9</f>
        <v>49567295.64986032</v>
      </c>
    </row>
    <row r="119" spans="1:9" ht="12.75" customHeight="1">
      <c r="A119" s="26"/>
      <c r="B119" s="56" t="s">
        <v>642</v>
      </c>
      <c r="C119" s="53"/>
      <c r="D119" s="53"/>
      <c r="E119" s="53"/>
      <c r="F119" s="53"/>
      <c r="G119" s="204"/>
      <c r="H119" s="204"/>
      <c r="I119" s="57"/>
    </row>
    <row r="120" spans="1:9" ht="12.75" customHeight="1" thickBot="1">
      <c r="A120" s="27"/>
      <c r="B120" s="33"/>
      <c r="C120" s="34"/>
      <c r="D120" s="34"/>
      <c r="E120" s="34"/>
      <c r="F120" s="34"/>
      <c r="G120" s="206"/>
      <c r="H120" s="206"/>
      <c r="I120" s="11"/>
    </row>
    <row r="121" spans="1:9" ht="12.75" customHeight="1">
      <c r="A121" s="31"/>
      <c r="B121" s="59"/>
      <c r="C121" s="31"/>
      <c r="D121" s="31"/>
      <c r="E121" s="31"/>
      <c r="F121" s="31"/>
      <c r="G121" s="207"/>
      <c r="H121" s="207"/>
      <c r="I121" s="11"/>
    </row>
  </sheetData>
  <hyperlinks>
    <hyperlink ref="B6" r:id="rId1" display="http://www.trinity.edu/~rjensen/acct5341/133spraos.htm#http://www.trinity.edu/~rjensen/acct5341/speakers/133spraos.htm "/>
  </hyperlinks>
  <printOptions/>
  <pageMargins left="0.75" right="0.75" top="1" bottom="1" header="0.5" footer="0.5"/>
  <pageSetup orientation="portrait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43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9.421875" style="0" customWidth="1"/>
    <col min="3" max="3" width="6.7109375" style="0" customWidth="1"/>
    <col min="4" max="6" width="10.7109375" style="0" customWidth="1"/>
    <col min="7" max="8" width="12.7109375" style="0" customWidth="1"/>
    <col min="9" max="10" width="14.7109375" style="0" customWidth="1"/>
    <col min="13" max="13" width="10.7109375" style="0" bestFit="1" customWidth="1"/>
    <col min="14" max="14" width="12.28125" style="0" bestFit="1" customWidth="1"/>
  </cols>
  <sheetData>
    <row r="2" ht="18">
      <c r="A2" s="187" t="s">
        <v>142</v>
      </c>
    </row>
    <row r="3" ht="18">
      <c r="A3" s="187" t="s">
        <v>143</v>
      </c>
    </row>
    <row r="4" spans="1:5" ht="12.75">
      <c r="A4" s="4" t="s">
        <v>95</v>
      </c>
      <c r="E4" s="4" t="s">
        <v>368</v>
      </c>
    </row>
    <row r="5" ht="12.75">
      <c r="A5" t="s">
        <v>275</v>
      </c>
    </row>
    <row r="6" ht="12.75">
      <c r="B6" s="162" t="s">
        <v>144</v>
      </c>
    </row>
    <row r="9" spans="1:8" ht="15.75">
      <c r="A9" s="165" t="s">
        <v>11</v>
      </c>
      <c r="B9" s="166"/>
      <c r="C9" s="166"/>
      <c r="D9" s="166"/>
      <c r="E9" s="166"/>
      <c r="F9" s="166"/>
      <c r="G9" s="166"/>
      <c r="H9" s="166"/>
    </row>
    <row r="10" spans="1:8" ht="12.75">
      <c r="A10" s="76" t="s">
        <v>548</v>
      </c>
      <c r="B10" s="76"/>
      <c r="C10" s="76"/>
      <c r="D10" s="76"/>
      <c r="E10" s="76"/>
      <c r="F10" s="76"/>
      <c r="G10" s="76"/>
      <c r="H10" s="166"/>
    </row>
    <row r="11" spans="1:8" ht="12.75">
      <c r="A11" s="2"/>
      <c r="B11" s="76" t="s">
        <v>549</v>
      </c>
      <c r="C11" s="76"/>
      <c r="D11" s="76"/>
      <c r="E11" s="76"/>
      <c r="F11" s="76"/>
      <c r="G11" s="76"/>
      <c r="H11" s="166"/>
    </row>
    <row r="12" spans="1:8" ht="12.75">
      <c r="A12" s="2"/>
      <c r="B12" s="167" t="s">
        <v>550</v>
      </c>
      <c r="C12" s="76"/>
      <c r="D12" s="76"/>
      <c r="E12" s="76"/>
      <c r="F12" s="76"/>
      <c r="G12" s="76"/>
      <c r="H12" s="166"/>
    </row>
    <row r="13" spans="1:8" ht="12.75">
      <c r="A13" s="2"/>
      <c r="B13" s="76" t="s">
        <v>12</v>
      </c>
      <c r="C13" s="76"/>
      <c r="D13" s="76"/>
      <c r="E13" s="76"/>
      <c r="F13" s="76"/>
      <c r="G13" s="76"/>
      <c r="H13" s="166"/>
    </row>
    <row r="14" spans="1:8" ht="12.75">
      <c r="A14" s="2"/>
      <c r="B14" s="76" t="s">
        <v>28</v>
      </c>
      <c r="C14" s="76"/>
      <c r="D14" s="76"/>
      <c r="E14" s="76"/>
      <c r="F14" s="76"/>
      <c r="G14" s="76"/>
      <c r="H14" s="166"/>
    </row>
    <row r="15" spans="1:8" ht="12.75">
      <c r="A15" s="76"/>
      <c r="B15" s="76"/>
      <c r="C15" s="76"/>
      <c r="D15" s="76"/>
      <c r="E15" s="76"/>
      <c r="F15" s="76"/>
      <c r="G15" s="76"/>
      <c r="H15" s="166"/>
    </row>
    <row r="16" spans="1:8" ht="12.75">
      <c r="A16" s="76" t="s">
        <v>538</v>
      </c>
      <c r="B16" s="76"/>
      <c r="C16" s="76"/>
      <c r="D16" s="76"/>
      <c r="E16" s="76"/>
      <c r="F16" s="76"/>
      <c r="G16" s="76"/>
      <c r="H16" s="166"/>
    </row>
    <row r="17" spans="1:8" ht="12.75">
      <c r="A17" s="76"/>
      <c r="B17" s="76" t="s">
        <v>13</v>
      </c>
      <c r="C17" s="76"/>
      <c r="D17" s="76"/>
      <c r="E17" s="76"/>
      <c r="F17" s="76"/>
      <c r="G17" s="76"/>
      <c r="H17" s="166"/>
    </row>
    <row r="18" spans="1:8" ht="12.75">
      <c r="A18" s="76"/>
      <c r="B18" s="76" t="s">
        <v>14</v>
      </c>
      <c r="C18" s="76"/>
      <c r="D18" s="76"/>
      <c r="E18" s="76"/>
      <c r="F18" s="76"/>
      <c r="G18" s="76"/>
      <c r="H18" s="166"/>
    </row>
    <row r="19" spans="1:8" ht="12.75">
      <c r="A19" s="76"/>
      <c r="B19" s="76" t="s">
        <v>29</v>
      </c>
      <c r="C19" s="76"/>
      <c r="D19" s="76"/>
      <c r="E19" s="76"/>
      <c r="F19" s="76"/>
      <c r="G19" s="76"/>
      <c r="H19" s="166"/>
    </row>
    <row r="20" spans="1:8" ht="12.75">
      <c r="A20" s="76"/>
      <c r="B20" s="76" t="s">
        <v>30</v>
      </c>
      <c r="C20" s="76"/>
      <c r="D20" s="76"/>
      <c r="E20" s="76"/>
      <c r="F20" s="76"/>
      <c r="G20" s="76"/>
      <c r="H20" s="166"/>
    </row>
    <row r="21" spans="1:8" ht="12.75">
      <c r="A21" s="76"/>
      <c r="B21" s="76"/>
      <c r="C21" s="76"/>
      <c r="D21" s="76"/>
      <c r="E21" s="76"/>
      <c r="F21" s="76"/>
      <c r="G21" s="76"/>
      <c r="H21" s="166"/>
    </row>
    <row r="22" spans="1:8" ht="12.75">
      <c r="A22" s="76" t="s">
        <v>15</v>
      </c>
      <c r="B22" s="76"/>
      <c r="C22" s="76"/>
      <c r="D22" s="76"/>
      <c r="E22" s="76"/>
      <c r="F22" s="76"/>
      <c r="G22" s="76"/>
      <c r="H22" s="166"/>
    </row>
    <row r="23" spans="1:8" ht="12.75">
      <c r="A23" s="76"/>
      <c r="B23" s="76" t="s">
        <v>539</v>
      </c>
      <c r="C23" s="76"/>
      <c r="D23" s="76"/>
      <c r="E23" s="76"/>
      <c r="F23" s="76"/>
      <c r="G23" s="76"/>
      <c r="H23" s="166"/>
    </row>
    <row r="24" spans="1:8" ht="12.75">
      <c r="A24" s="76"/>
      <c r="B24" s="76"/>
      <c r="C24" s="76"/>
      <c r="D24" s="76"/>
      <c r="E24" s="76"/>
      <c r="F24" s="76"/>
      <c r="G24" s="76"/>
      <c r="H24" s="166"/>
    </row>
    <row r="25" spans="1:8" ht="12.75">
      <c r="A25" s="76" t="s">
        <v>27</v>
      </c>
      <c r="B25" s="76"/>
      <c r="C25" s="76"/>
      <c r="D25" s="76"/>
      <c r="E25" s="76"/>
      <c r="F25" s="76"/>
      <c r="G25" s="76"/>
      <c r="H25" s="166"/>
    </row>
    <row r="26" spans="1:8" ht="12.75">
      <c r="A26" s="76"/>
      <c r="B26" s="76" t="s">
        <v>551</v>
      </c>
      <c r="C26" s="76"/>
      <c r="D26" s="76"/>
      <c r="E26" s="76"/>
      <c r="F26" s="76"/>
      <c r="G26" s="76"/>
      <c r="H26" s="166"/>
    </row>
    <row r="27" spans="1:8" ht="12.75">
      <c r="A27" s="76"/>
      <c r="B27" s="76" t="s">
        <v>178</v>
      </c>
      <c r="C27" s="76"/>
      <c r="D27" s="76"/>
      <c r="E27" s="76"/>
      <c r="F27" s="76"/>
      <c r="G27" s="76"/>
      <c r="H27" s="166"/>
    </row>
    <row r="28" spans="1:8" ht="12.75">
      <c r="A28" s="76"/>
      <c r="B28" s="76"/>
      <c r="C28" s="76"/>
      <c r="D28" s="76"/>
      <c r="E28" s="76"/>
      <c r="F28" s="76"/>
      <c r="G28" s="76"/>
      <c r="H28" s="166"/>
    </row>
    <row r="29" spans="1:8" ht="12.75">
      <c r="A29" s="76" t="s">
        <v>31</v>
      </c>
      <c r="B29" s="76"/>
      <c r="C29" s="76"/>
      <c r="D29" s="76"/>
      <c r="E29" s="76"/>
      <c r="F29" s="76"/>
      <c r="G29" s="76"/>
      <c r="H29" s="166"/>
    </row>
    <row r="30" spans="1:8" ht="12.75">
      <c r="A30" s="76"/>
      <c r="B30" s="76" t="s">
        <v>32</v>
      </c>
      <c r="C30" s="76"/>
      <c r="D30" s="76"/>
      <c r="E30" s="76"/>
      <c r="F30" s="76"/>
      <c r="G30" s="76"/>
      <c r="H30" s="166"/>
    </row>
    <row r="31" spans="1:8" ht="12.75">
      <c r="A31" s="76"/>
      <c r="B31" s="4" t="s">
        <v>33</v>
      </c>
      <c r="C31" s="76"/>
      <c r="D31" s="76"/>
      <c r="E31" s="76"/>
      <c r="F31" s="76"/>
      <c r="G31" s="76"/>
      <c r="H31" s="166"/>
    </row>
    <row r="33" ht="15.75">
      <c r="A33" s="7" t="s">
        <v>516</v>
      </c>
    </row>
    <row r="35" ht="12.75" customHeight="1">
      <c r="A35" s="3" t="s">
        <v>98</v>
      </c>
    </row>
    <row r="36" ht="12.75" customHeight="1">
      <c r="A36" t="s">
        <v>590</v>
      </c>
    </row>
    <row r="37" ht="12.75" customHeight="1">
      <c r="A37" t="s">
        <v>80</v>
      </c>
    </row>
    <row r="38" ht="12.75" customHeight="1">
      <c r="A38" t="s">
        <v>716</v>
      </c>
    </row>
    <row r="39" ht="12.75" customHeight="1">
      <c r="A39" t="s">
        <v>717</v>
      </c>
    </row>
    <row r="40" ht="12.75" customHeight="1"/>
    <row r="41" ht="12.75" customHeight="1">
      <c r="A41" t="s">
        <v>718</v>
      </c>
    </row>
    <row r="42" ht="12.75" customHeight="1"/>
    <row r="43" s="2" customFormat="1" ht="12.75" customHeight="1">
      <c r="A43" s="10" t="s">
        <v>719</v>
      </c>
    </row>
    <row r="44" s="2" customFormat="1" ht="12.75" customHeight="1">
      <c r="A44" s="10"/>
    </row>
    <row r="45" s="2" customFormat="1" ht="12.75" customHeight="1">
      <c r="A45" s="10" t="s">
        <v>333</v>
      </c>
    </row>
    <row r="46" s="2" customFormat="1" ht="12.75" customHeight="1">
      <c r="A46" s="10" t="s">
        <v>334</v>
      </c>
    </row>
    <row r="47" s="2" customFormat="1" ht="12.75" customHeight="1">
      <c r="A47" s="10" t="s">
        <v>591</v>
      </c>
    </row>
    <row r="48" s="2" customFormat="1" ht="12.75" customHeight="1">
      <c r="A48" s="10" t="s">
        <v>38</v>
      </c>
    </row>
    <row r="49" s="2" customFormat="1" ht="12.75" customHeight="1">
      <c r="A49" s="10" t="s">
        <v>335</v>
      </c>
    </row>
    <row r="50" s="2" customFormat="1" ht="12.75" customHeight="1">
      <c r="A50" s="10" t="s">
        <v>39</v>
      </c>
    </row>
    <row r="51" s="2" customFormat="1" ht="12.75" customHeight="1">
      <c r="A51" s="10" t="s">
        <v>592</v>
      </c>
    </row>
    <row r="52" s="2" customFormat="1" ht="12.75" customHeight="1">
      <c r="A52" s="10" t="s">
        <v>40</v>
      </c>
    </row>
    <row r="53" s="2" customFormat="1" ht="12.75" customHeight="1">
      <c r="A53" s="10" t="s">
        <v>41</v>
      </c>
    </row>
    <row r="54" s="2" customFormat="1" ht="12.75" customHeight="1"/>
    <row r="55" spans="1:10" s="10" customFormat="1" ht="12.75" customHeight="1">
      <c r="A55" s="226" t="s">
        <v>179</v>
      </c>
      <c r="B55" s="227"/>
      <c r="C55" s="227"/>
      <c r="D55" s="227"/>
      <c r="E55" s="227"/>
      <c r="F55" s="227"/>
      <c r="G55" s="227"/>
      <c r="H55" s="227"/>
      <c r="I55" s="227"/>
      <c r="J55" s="227"/>
    </row>
    <row r="56" s="10" customFormat="1" ht="12.75" customHeight="1">
      <c r="A56" s="10" t="s">
        <v>720</v>
      </c>
    </row>
    <row r="57" s="10" customFormat="1" ht="12.75" customHeight="1"/>
    <row r="58" s="10" customFormat="1" ht="12.75" customHeight="1">
      <c r="A58" s="10" t="s">
        <v>721</v>
      </c>
    </row>
    <row r="59" s="10" customFormat="1" ht="12.75" customHeight="1">
      <c r="A59" s="10" t="s">
        <v>722</v>
      </c>
    </row>
    <row r="60" s="10" customFormat="1" ht="12.75" customHeight="1">
      <c r="A60" s="10" t="s">
        <v>338</v>
      </c>
    </row>
    <row r="61" s="10" customFormat="1" ht="12.75" customHeight="1">
      <c r="A61" s="10" t="s">
        <v>340</v>
      </c>
    </row>
    <row r="62" s="10" customFormat="1" ht="12.75" customHeight="1">
      <c r="A62" s="10" t="s">
        <v>339</v>
      </c>
    </row>
    <row r="63" s="10" customFormat="1" ht="12.75" customHeight="1"/>
    <row r="64" s="10" customFormat="1" ht="12.75" customHeight="1">
      <c r="A64" s="10" t="s">
        <v>723</v>
      </c>
    </row>
    <row r="65" s="10" customFormat="1" ht="12.75" customHeight="1">
      <c r="A65" s="10" t="s">
        <v>145</v>
      </c>
    </row>
    <row r="66" s="10" customFormat="1" ht="12.75" customHeight="1">
      <c r="A66" s="10" t="s">
        <v>724</v>
      </c>
    </row>
    <row r="67" s="10" customFormat="1" ht="12.75" customHeight="1">
      <c r="A67" s="10" t="s">
        <v>725</v>
      </c>
    </row>
    <row r="68" s="10" customFormat="1" ht="12.75" customHeight="1">
      <c r="A68" s="10" t="s">
        <v>726</v>
      </c>
    </row>
    <row r="69" s="10" customFormat="1" ht="12.75" customHeight="1">
      <c r="A69" s="10" t="s">
        <v>586</v>
      </c>
    </row>
    <row r="70" s="10" customFormat="1" ht="12.75" customHeight="1"/>
    <row r="71" s="10" customFormat="1" ht="12.75">
      <c r="A71" s="10" t="s">
        <v>727</v>
      </c>
    </row>
    <row r="72" s="2" customFormat="1" ht="12.75" customHeight="1">
      <c r="A72" s="10" t="s">
        <v>728</v>
      </c>
    </row>
    <row r="73" s="2" customFormat="1" ht="12.75" customHeight="1">
      <c r="A73" s="10" t="s">
        <v>729</v>
      </c>
    </row>
    <row r="74" s="2" customFormat="1" ht="12.75" customHeight="1">
      <c r="A74" s="10"/>
    </row>
    <row r="75" s="6" customFormat="1" ht="12.75" customHeight="1"/>
    <row r="76" ht="12.75" customHeight="1">
      <c r="A76" s="3" t="s">
        <v>99</v>
      </c>
    </row>
    <row r="77" ht="12.75" customHeight="1">
      <c r="A77" t="s">
        <v>0</v>
      </c>
    </row>
    <row r="78" ht="12.75" customHeight="1">
      <c r="A78" t="s">
        <v>1</v>
      </c>
    </row>
    <row r="79" ht="12.75" customHeight="1"/>
    <row r="80" ht="12.75" customHeight="1">
      <c r="A80" t="s">
        <v>587</v>
      </c>
    </row>
    <row r="81" ht="12.75" customHeight="1">
      <c r="A81" t="s">
        <v>731</v>
      </c>
    </row>
    <row r="82" ht="12.75" customHeight="1">
      <c r="A82" t="s">
        <v>730</v>
      </c>
    </row>
    <row r="83" ht="12.75" customHeight="1"/>
    <row r="84" spans="1:9" ht="12.75" customHeight="1">
      <c r="A84" s="222" t="s">
        <v>759</v>
      </c>
      <c r="B84" s="223"/>
      <c r="C84" s="223"/>
      <c r="D84" s="223"/>
      <c r="E84" s="223"/>
      <c r="F84" s="223"/>
      <c r="G84" s="223"/>
      <c r="H84" s="223"/>
      <c r="I84" s="223"/>
    </row>
    <row r="85" ht="12.75" customHeight="1">
      <c r="A85" t="s">
        <v>779</v>
      </c>
    </row>
    <row r="86" ht="12.75" customHeight="1"/>
    <row r="87" spans="1:2" s="6" customFormat="1" ht="12.75" customHeight="1">
      <c r="A87" s="10" t="s">
        <v>588</v>
      </c>
      <c r="B87" s="10"/>
    </row>
    <row r="88" spans="1:2" s="6" customFormat="1" ht="12.75" customHeight="1">
      <c r="A88" s="10" t="s">
        <v>732</v>
      </c>
      <c r="B88" s="10"/>
    </row>
    <row r="89" spans="1:2" s="6" customFormat="1" ht="12.75" customHeight="1">
      <c r="A89" s="10" t="s">
        <v>712</v>
      </c>
      <c r="B89" s="10"/>
    </row>
    <row r="90" spans="1:2" s="6" customFormat="1" ht="12.75" customHeight="1">
      <c r="A90" s="10" t="s">
        <v>589</v>
      </c>
      <c r="B90" s="10"/>
    </row>
    <row r="91" spans="1:2" s="6" customFormat="1" ht="12.75" customHeight="1">
      <c r="A91" s="10" t="s">
        <v>713</v>
      </c>
      <c r="B91" s="10"/>
    </row>
    <row r="92" spans="1:2" s="6" customFormat="1" ht="12.75" customHeight="1">
      <c r="A92" s="10" t="s">
        <v>341</v>
      </c>
      <c r="B92" s="10"/>
    </row>
    <row r="93" spans="1:2" s="6" customFormat="1" ht="12.75" customHeight="1">
      <c r="A93" s="10" t="s">
        <v>342</v>
      </c>
      <c r="B93" s="10"/>
    </row>
    <row r="94" spans="1:2" s="6" customFormat="1" ht="12.75" customHeight="1">
      <c r="A94" s="10" t="s">
        <v>343</v>
      </c>
      <c r="B94" s="10"/>
    </row>
    <row r="95" spans="1:2" s="6" customFormat="1" ht="12.75" customHeight="1">
      <c r="A95" s="10"/>
      <c r="B95" s="10"/>
    </row>
    <row r="96" spans="1:2" s="6" customFormat="1" ht="12.75" customHeight="1">
      <c r="A96" s="10" t="s">
        <v>714</v>
      </c>
      <c r="B96" s="10"/>
    </row>
    <row r="97" spans="1:2" s="6" customFormat="1" ht="12.75" customHeight="1">
      <c r="A97" s="10" t="s">
        <v>57</v>
      </c>
      <c r="B97" s="10"/>
    </row>
    <row r="98" spans="1:2" s="6" customFormat="1" ht="12.75" customHeight="1">
      <c r="A98" s="10" t="s">
        <v>344</v>
      </c>
      <c r="B98" s="10"/>
    </row>
    <row r="99" spans="1:2" s="6" customFormat="1" ht="12.75">
      <c r="A99" s="10" t="s">
        <v>345</v>
      </c>
      <c r="B99" s="10"/>
    </row>
    <row r="100" spans="1:2" s="6" customFormat="1" ht="12.75">
      <c r="A100" s="10" t="s">
        <v>346</v>
      </c>
      <c r="B100" s="10"/>
    </row>
    <row r="101" spans="1:2" s="6" customFormat="1" ht="12.75">
      <c r="A101" s="10" t="s">
        <v>347</v>
      </c>
      <c r="B101" s="10"/>
    </row>
    <row r="102" spans="1:2" s="6" customFormat="1" ht="12.75">
      <c r="A102" s="10" t="s">
        <v>62</v>
      </c>
      <c r="B102" s="10"/>
    </row>
    <row r="103" spans="1:2" s="6" customFormat="1" ht="12.75">
      <c r="A103" s="10" t="s">
        <v>63</v>
      </c>
      <c r="B103" s="10"/>
    </row>
    <row r="104" spans="1:2" s="6" customFormat="1" ht="12.75">
      <c r="A104" s="10" t="s">
        <v>64</v>
      </c>
      <c r="B104" s="10"/>
    </row>
    <row r="105" spans="1:2" s="6" customFormat="1" ht="12.75">
      <c r="A105" s="10" t="s">
        <v>579</v>
      </c>
      <c r="B105" s="10"/>
    </row>
    <row r="106" spans="1:2" s="6" customFormat="1" ht="12.75">
      <c r="A106" s="10"/>
      <c r="B106" s="10"/>
    </row>
    <row r="107" spans="1:2" s="6" customFormat="1" ht="12.75">
      <c r="A107" s="10" t="s">
        <v>336</v>
      </c>
      <c r="B107" s="10"/>
    </row>
    <row r="108" spans="1:2" s="6" customFormat="1" ht="12.75">
      <c r="A108" s="10" t="s">
        <v>337</v>
      </c>
      <c r="B108" s="10"/>
    </row>
    <row r="109" spans="1:2" ht="12.75" customHeight="1">
      <c r="A109" s="10" t="s">
        <v>350</v>
      </c>
      <c r="B109" s="2"/>
    </row>
    <row r="110" spans="1:2" ht="12.75" customHeight="1">
      <c r="A110" s="10" t="s">
        <v>351</v>
      </c>
      <c r="B110" s="2"/>
    </row>
    <row r="111" spans="1:2" ht="12.75" customHeight="1">
      <c r="A111" s="10"/>
      <c r="B111" s="2"/>
    </row>
    <row r="112" spans="1:2" ht="12.75" customHeight="1">
      <c r="A112" s="10" t="s">
        <v>733</v>
      </c>
      <c r="B112" s="2"/>
    </row>
    <row r="113" spans="1:2" ht="12.75" customHeight="1">
      <c r="A113" s="10" t="s">
        <v>734</v>
      </c>
      <c r="B113" s="2"/>
    </row>
    <row r="114" spans="1:2" ht="12.75" customHeight="1">
      <c r="A114" s="10" t="s">
        <v>737</v>
      </c>
      <c r="B114" s="2"/>
    </row>
    <row r="115" spans="1:2" ht="12.75" customHeight="1">
      <c r="A115" s="10" t="s">
        <v>738</v>
      </c>
      <c r="B115" s="2"/>
    </row>
    <row r="116" spans="1:2" ht="12.75" customHeight="1">
      <c r="A116" s="10" t="s">
        <v>739</v>
      </c>
      <c r="B116" s="2"/>
    </row>
    <row r="117" spans="1:2" ht="12.75" customHeight="1">
      <c r="A117" s="10" t="s">
        <v>740</v>
      </c>
      <c r="B117" s="2"/>
    </row>
    <row r="118" spans="1:2" ht="12.75" customHeight="1">
      <c r="A118" s="10"/>
      <c r="B118" s="2"/>
    </row>
    <row r="119" spans="1:2" ht="12.75" customHeight="1">
      <c r="A119" s="10" t="s">
        <v>741</v>
      </c>
      <c r="B119" s="2"/>
    </row>
    <row r="120" spans="1:2" ht="12.75" customHeight="1">
      <c r="A120" s="10" t="s">
        <v>753</v>
      </c>
      <c r="B120" s="2"/>
    </row>
    <row r="121" spans="1:2" ht="12.75" customHeight="1">
      <c r="A121" s="10" t="s">
        <v>754</v>
      </c>
      <c r="B121" s="2"/>
    </row>
    <row r="122" spans="1:2" ht="12.75" customHeight="1">
      <c r="A122" s="10"/>
      <c r="B122" s="2"/>
    </row>
    <row r="123" spans="1:2" ht="12.75" customHeight="1">
      <c r="A123" s="10" t="s">
        <v>755</v>
      </c>
      <c r="B123" s="2"/>
    </row>
    <row r="124" spans="1:2" ht="12.75" customHeight="1">
      <c r="A124" s="10" t="s">
        <v>756</v>
      </c>
      <c r="B124" s="2"/>
    </row>
    <row r="125" spans="1:2" ht="12.75" customHeight="1">
      <c r="A125" s="10" t="s">
        <v>757</v>
      </c>
      <c r="B125" s="2"/>
    </row>
    <row r="126" spans="1:2" ht="12.75" customHeight="1">
      <c r="A126" s="10" t="s">
        <v>758</v>
      </c>
      <c r="B126" s="2"/>
    </row>
    <row r="127" ht="12.75" customHeight="1">
      <c r="B127" s="2"/>
    </row>
    <row r="128" spans="2:4" ht="12.75" customHeight="1">
      <c r="B128" s="9" t="s">
        <v>760</v>
      </c>
      <c r="C128" s="9"/>
      <c r="D128" s="9"/>
    </row>
    <row r="129" spans="2:4" ht="12.75" customHeight="1">
      <c r="B129" s="9" t="s">
        <v>765</v>
      </c>
      <c r="C129" s="9"/>
      <c r="D129" s="9"/>
    </row>
    <row r="130" spans="2:4" ht="12.75" customHeight="1">
      <c r="B130" s="9" t="s">
        <v>766</v>
      </c>
      <c r="C130" s="9"/>
      <c r="D130" s="9"/>
    </row>
    <row r="131" spans="2:4" ht="12.75" customHeight="1">
      <c r="B131" s="9" t="s">
        <v>761</v>
      </c>
      <c r="C131" s="9"/>
      <c r="D131" s="9"/>
    </row>
    <row r="132" spans="2:4" ht="12.75" customHeight="1">
      <c r="B132" s="9" t="s">
        <v>762</v>
      </c>
      <c r="C132" s="9"/>
      <c r="D132" s="9"/>
    </row>
    <row r="133" spans="2:4" ht="12.75" customHeight="1">
      <c r="B133" s="9" t="s">
        <v>767</v>
      </c>
      <c r="C133" s="9"/>
      <c r="D133" s="9"/>
    </row>
    <row r="134" spans="2:4" ht="12.75" customHeight="1">
      <c r="B134" s="9" t="s">
        <v>763</v>
      </c>
      <c r="C134" s="9"/>
      <c r="D134" s="9"/>
    </row>
    <row r="135" spans="2:4" ht="12.75" customHeight="1">
      <c r="B135" s="9" t="s">
        <v>764</v>
      </c>
      <c r="C135" s="9"/>
      <c r="D135" s="9"/>
    </row>
    <row r="136" spans="2:4" ht="12.75" customHeight="1">
      <c r="B136" s="9" t="s">
        <v>768</v>
      </c>
      <c r="C136" s="9"/>
      <c r="D136" s="9"/>
    </row>
    <row r="137" ht="12.75" customHeight="1">
      <c r="A137" s="10"/>
    </row>
    <row r="138" ht="12.75" customHeight="1">
      <c r="A138" s="10" t="s">
        <v>769</v>
      </c>
    </row>
    <row r="139" ht="12.75" customHeight="1">
      <c r="A139" s="10" t="s">
        <v>224</v>
      </c>
    </row>
    <row r="140" ht="12.75" customHeight="1">
      <c r="A140" s="10" t="s">
        <v>770</v>
      </c>
    </row>
    <row r="141" ht="12.75" customHeight="1">
      <c r="A141" s="10" t="s">
        <v>771</v>
      </c>
    </row>
    <row r="142" ht="12.75" customHeight="1">
      <c r="A142" s="10" t="s">
        <v>772</v>
      </c>
    </row>
    <row r="143" ht="12.75" customHeight="1">
      <c r="A143" s="10" t="s">
        <v>773</v>
      </c>
    </row>
    <row r="144" ht="12.75" customHeight="1">
      <c r="A144" s="10" t="s">
        <v>774</v>
      </c>
    </row>
    <row r="145" ht="12.75" customHeight="1">
      <c r="A145" s="10" t="s">
        <v>775</v>
      </c>
    </row>
    <row r="146" ht="12.75" customHeight="1">
      <c r="A146" s="10" t="s">
        <v>776</v>
      </c>
    </row>
    <row r="147" ht="12.75" customHeight="1">
      <c r="A147" s="10"/>
    </row>
    <row r="148" ht="12.75" customHeight="1">
      <c r="A148" s="10" t="s">
        <v>34</v>
      </c>
    </row>
    <row r="149" ht="12.75" customHeight="1">
      <c r="A149" s="10" t="s">
        <v>37</v>
      </c>
    </row>
    <row r="150" ht="12.75" customHeight="1">
      <c r="A150" s="10" t="s">
        <v>35</v>
      </c>
    </row>
    <row r="151" ht="12.75" customHeight="1">
      <c r="A151" s="10" t="s">
        <v>36</v>
      </c>
    </row>
    <row r="152" ht="12.75" customHeight="1">
      <c r="A152" s="10" t="s">
        <v>593</v>
      </c>
    </row>
    <row r="153" ht="12.75" customHeight="1">
      <c r="A153" s="10"/>
    </row>
    <row r="154" spans="1:9" ht="12.75" customHeight="1">
      <c r="A154" s="10" t="s">
        <v>777</v>
      </c>
      <c r="B154" s="10"/>
      <c r="C154" s="10"/>
      <c r="D154" s="10"/>
      <c r="E154" s="10"/>
      <c r="F154" s="10"/>
      <c r="G154" s="10"/>
      <c r="H154" s="10"/>
      <c r="I154" s="10"/>
    </row>
    <row r="155" spans="1:9" ht="12.75" customHeight="1">
      <c r="A155" s="10" t="s">
        <v>778</v>
      </c>
      <c r="B155" s="10"/>
      <c r="C155" s="10"/>
      <c r="D155" s="10"/>
      <c r="E155" s="10"/>
      <c r="F155" s="10"/>
      <c r="G155" s="10"/>
      <c r="H155" s="10"/>
      <c r="I155" s="10"/>
    </row>
    <row r="156" spans="1:9" ht="12.75">
      <c r="A156" s="10"/>
      <c r="B156" s="10"/>
      <c r="C156" s="10"/>
      <c r="D156" s="10"/>
      <c r="E156" s="10"/>
      <c r="F156" s="10"/>
      <c r="G156" s="10"/>
      <c r="H156" s="10"/>
      <c r="I156" s="10"/>
    </row>
    <row r="157" ht="12.75">
      <c r="A157" s="10"/>
    </row>
    <row r="158" ht="15.75">
      <c r="A158" s="3" t="s">
        <v>100</v>
      </c>
    </row>
    <row r="159" ht="12.75" customHeight="1">
      <c r="A159" t="s">
        <v>42</v>
      </c>
    </row>
    <row r="160" ht="12.75" customHeight="1">
      <c r="A160" t="s">
        <v>525</v>
      </c>
    </row>
    <row r="161" ht="12.75" customHeight="1">
      <c r="A161" t="s">
        <v>594</v>
      </c>
    </row>
    <row r="162" ht="12.75" customHeight="1"/>
    <row r="163" ht="12.75" customHeight="1"/>
    <row r="164" ht="12.75" customHeight="1">
      <c r="A164" s="10" t="s">
        <v>595</v>
      </c>
    </row>
    <row r="165" ht="12.75" customHeight="1">
      <c r="A165" s="10" t="s">
        <v>2</v>
      </c>
    </row>
    <row r="166" ht="12.75" customHeight="1">
      <c r="A166" s="10" t="s">
        <v>216</v>
      </c>
    </row>
    <row r="167" ht="12.75" customHeight="1">
      <c r="A167" s="10" t="s">
        <v>348</v>
      </c>
    </row>
    <row r="168" ht="12.75" customHeight="1">
      <c r="A168" s="6"/>
    </row>
    <row r="169" ht="12.75" customHeight="1"/>
    <row r="170" ht="15.75">
      <c r="A170" s="3" t="s">
        <v>101</v>
      </c>
    </row>
    <row r="171" ht="14.25" customHeight="1">
      <c r="A171" t="s">
        <v>631</v>
      </c>
    </row>
    <row r="172" ht="14.25" customHeight="1">
      <c r="A172" t="s">
        <v>3</v>
      </c>
    </row>
    <row r="173" ht="12.75" customHeight="1">
      <c r="A173" t="s">
        <v>582</v>
      </c>
    </row>
    <row r="174" ht="12.75" customHeight="1">
      <c r="A174" t="s">
        <v>715</v>
      </c>
    </row>
    <row r="175" ht="12.75" customHeight="1"/>
    <row r="176" spans="1:2" ht="12.75" customHeight="1">
      <c r="A176" s="10" t="s">
        <v>217</v>
      </c>
      <c r="B176" s="2"/>
    </row>
    <row r="177" spans="1:2" ht="12.75" customHeight="1">
      <c r="A177" s="10" t="s">
        <v>218</v>
      </c>
      <c r="B177" s="2"/>
    </row>
    <row r="178" spans="1:2" ht="12.75" customHeight="1">
      <c r="A178" s="10" t="s">
        <v>221</v>
      </c>
      <c r="B178" s="2"/>
    </row>
    <row r="179" spans="1:2" ht="12.75" customHeight="1">
      <c r="A179" s="10" t="s">
        <v>234</v>
      </c>
      <c r="B179" s="2"/>
    </row>
    <row r="180" spans="1:2" ht="12.75" customHeight="1">
      <c r="A180" s="10" t="s">
        <v>349</v>
      </c>
      <c r="B180" s="2"/>
    </row>
    <row r="181" spans="1:2" ht="12.75" customHeight="1">
      <c r="A181" s="10" t="s">
        <v>596</v>
      </c>
      <c r="B181" s="2"/>
    </row>
    <row r="182" spans="1:2" ht="12.75" customHeight="1">
      <c r="A182" s="10"/>
      <c r="B182" s="2"/>
    </row>
    <row r="183" spans="1:2" ht="12.75" customHeight="1">
      <c r="A183" s="10" t="s">
        <v>265</v>
      </c>
      <c r="B183" s="2"/>
    </row>
    <row r="184" spans="1:2" ht="12.75" customHeight="1">
      <c r="A184" s="10" t="s">
        <v>352</v>
      </c>
      <c r="B184" s="2"/>
    </row>
    <row r="185" spans="1:2" ht="12.75" customHeight="1">
      <c r="A185" s="10" t="s">
        <v>353</v>
      </c>
      <c r="B185" s="2"/>
    </row>
    <row r="186" spans="1:2" ht="12.75" customHeight="1">
      <c r="A186" s="10"/>
      <c r="B186" s="2"/>
    </row>
    <row r="187" spans="1:2" ht="12.75" customHeight="1">
      <c r="A187" s="10" t="s">
        <v>583</v>
      </c>
      <c r="B187" s="2"/>
    </row>
    <row r="188" spans="1:2" ht="12.75" customHeight="1">
      <c r="A188" s="10" t="s">
        <v>136</v>
      </c>
      <c r="B188" s="2"/>
    </row>
    <row r="189" spans="1:2" ht="12.75" customHeight="1">
      <c r="A189" s="10" t="s">
        <v>660</v>
      </c>
      <c r="B189" s="2"/>
    </row>
    <row r="190" spans="1:2" ht="12.75" customHeight="1">
      <c r="A190" s="10" t="s">
        <v>584</v>
      </c>
      <c r="B190" s="2"/>
    </row>
    <row r="191" spans="1:2" ht="12.75" customHeight="1">
      <c r="A191" s="10" t="s">
        <v>597</v>
      </c>
      <c r="B191" s="2"/>
    </row>
    <row r="192" spans="1:2" ht="12.75" customHeight="1">
      <c r="A192" s="10" t="s">
        <v>629</v>
      </c>
      <c r="B192" s="2"/>
    </row>
    <row r="193" ht="12.75" customHeight="1">
      <c r="A193" s="6"/>
    </row>
    <row r="194" ht="12.75" customHeight="1">
      <c r="A194" s="6"/>
    </row>
    <row r="195" ht="12.75" customHeight="1">
      <c r="A195" s="3" t="s">
        <v>102</v>
      </c>
    </row>
    <row r="196" ht="12.75" customHeight="1">
      <c r="A196" t="s">
        <v>82</v>
      </c>
    </row>
    <row r="197" ht="12.75" customHeight="1">
      <c r="A197" t="s">
        <v>581</v>
      </c>
    </row>
    <row r="198" ht="12.75" customHeight="1">
      <c r="A198" t="s">
        <v>219</v>
      </c>
    </row>
    <row r="199" ht="12.75" customHeight="1">
      <c r="A199" t="s">
        <v>225</v>
      </c>
    </row>
    <row r="200" ht="12.75" customHeight="1">
      <c r="A200" t="s">
        <v>4</v>
      </c>
    </row>
    <row r="201" ht="12.75" customHeight="1">
      <c r="A201" t="s">
        <v>552</v>
      </c>
    </row>
    <row r="202" ht="12.75" customHeight="1"/>
    <row r="203" ht="12.75" customHeight="1">
      <c r="A203" s="10" t="s">
        <v>5</v>
      </c>
    </row>
    <row r="204" ht="12.75" customHeight="1">
      <c r="A204" s="10" t="s">
        <v>146</v>
      </c>
    </row>
    <row r="205" ht="12.75" customHeight="1">
      <c r="A205" s="10" t="s">
        <v>585</v>
      </c>
    </row>
    <row r="206" ht="12.75" customHeight="1">
      <c r="A206" s="10" t="s">
        <v>226</v>
      </c>
    </row>
    <row r="207" ht="12.75" customHeight="1">
      <c r="A207" s="10" t="s">
        <v>626</v>
      </c>
    </row>
    <row r="208" ht="12.75" customHeight="1">
      <c r="A208" s="10" t="s">
        <v>627</v>
      </c>
    </row>
    <row r="209" ht="12.75" customHeight="1">
      <c r="A209" s="10" t="s">
        <v>632</v>
      </c>
    </row>
    <row r="210" ht="12.75" customHeight="1">
      <c r="A210" s="10" t="s">
        <v>628</v>
      </c>
    </row>
    <row r="211" ht="12.75" customHeight="1">
      <c r="A211" s="10"/>
    </row>
    <row r="212" ht="12.75" customHeight="1">
      <c r="A212" s="10" t="s">
        <v>6</v>
      </c>
    </row>
    <row r="213" ht="12.75" customHeight="1">
      <c r="A213" s="10" t="s">
        <v>235</v>
      </c>
    </row>
    <row r="214" ht="12.75" customHeight="1">
      <c r="A214" s="10" t="s">
        <v>236</v>
      </c>
    </row>
    <row r="215" ht="12.75" customHeight="1">
      <c r="A215" s="10" t="s">
        <v>238</v>
      </c>
    </row>
    <row r="216" ht="12.75" customHeight="1">
      <c r="A216" s="10" t="s">
        <v>239</v>
      </c>
    </row>
    <row r="217" ht="12.75" customHeight="1">
      <c r="A217" s="10" t="s">
        <v>354</v>
      </c>
    </row>
    <row r="218" ht="12.75" customHeight="1">
      <c r="A218" s="10" t="s">
        <v>227</v>
      </c>
    </row>
    <row r="219" ht="12.75" customHeight="1">
      <c r="A219" s="10" t="s">
        <v>228</v>
      </c>
    </row>
    <row r="220" ht="12.75" customHeight="1">
      <c r="A220" s="10"/>
    </row>
    <row r="221" ht="12.75" customHeight="1">
      <c r="A221" s="10" t="s">
        <v>240</v>
      </c>
    </row>
    <row r="222" ht="12.75" customHeight="1">
      <c r="A222" s="10" t="s">
        <v>241</v>
      </c>
    </row>
    <row r="223" ht="12.75" customHeight="1">
      <c r="A223" s="10"/>
    </row>
    <row r="224" ht="12.75" customHeight="1">
      <c r="A224" s="10" t="s">
        <v>699</v>
      </c>
    </row>
    <row r="225" ht="12.75" customHeight="1">
      <c r="A225" s="10" t="s">
        <v>708</v>
      </c>
    </row>
    <row r="226" ht="12.75" customHeight="1">
      <c r="A226" s="6"/>
    </row>
    <row r="227" ht="12.75" customHeight="1"/>
    <row r="228" ht="12.75" customHeight="1">
      <c r="A228" s="3" t="s">
        <v>103</v>
      </c>
    </row>
    <row r="229" ht="12.75" customHeight="1">
      <c r="A229" t="s">
        <v>193</v>
      </c>
    </row>
    <row r="230" ht="12.75" customHeight="1">
      <c r="A230" t="s">
        <v>505</v>
      </c>
    </row>
    <row r="231" ht="12.75" customHeight="1">
      <c r="A231" t="s">
        <v>598</v>
      </c>
    </row>
    <row r="232" ht="12.75" customHeight="1">
      <c r="A232" t="s">
        <v>506</v>
      </c>
    </row>
    <row r="233" ht="12.75" customHeight="1"/>
    <row r="234" spans="1:10" ht="12.75" customHeight="1">
      <c r="A234" s="222" t="s">
        <v>508</v>
      </c>
      <c r="B234" s="223"/>
      <c r="C234" s="223"/>
      <c r="D234" s="223"/>
      <c r="E234" s="223"/>
      <c r="F234" s="223"/>
      <c r="G234" s="223"/>
      <c r="H234" s="223"/>
      <c r="I234" s="223"/>
      <c r="J234" s="223"/>
    </row>
    <row r="235" ht="12.75" customHeight="1"/>
    <row r="236" ht="12.75" customHeight="1"/>
    <row r="237" spans="1:4" s="6" customFormat="1" ht="12.75" customHeight="1">
      <c r="A237" s="10" t="s">
        <v>507</v>
      </c>
      <c r="B237" s="10"/>
      <c r="C237" s="10"/>
      <c r="D237" s="10"/>
    </row>
    <row r="238" spans="1:4" s="6" customFormat="1" ht="12.75" customHeight="1">
      <c r="A238" s="10" t="s">
        <v>554</v>
      </c>
      <c r="B238" s="10"/>
      <c r="C238" s="10"/>
      <c r="D238" s="10"/>
    </row>
    <row r="239" spans="1:4" s="6" customFormat="1" ht="12.75" customHeight="1">
      <c r="A239" s="10" t="s">
        <v>355</v>
      </c>
      <c r="B239" s="10"/>
      <c r="C239" s="10"/>
      <c r="D239" s="10"/>
    </row>
    <row r="240" spans="1:4" s="6" customFormat="1" ht="12.75" customHeight="1">
      <c r="A240" s="10" t="s">
        <v>356</v>
      </c>
      <c r="B240" s="10"/>
      <c r="C240" s="10"/>
      <c r="D240" s="10"/>
    </row>
    <row r="241" spans="1:4" s="6" customFormat="1" ht="12.75" customHeight="1">
      <c r="A241" s="10" t="s">
        <v>147</v>
      </c>
      <c r="B241" s="10"/>
      <c r="C241" s="10"/>
      <c r="D241" s="10"/>
    </row>
    <row r="242" spans="1:4" s="6" customFormat="1" ht="12.75" customHeight="1">
      <c r="A242" s="10" t="s">
        <v>242</v>
      </c>
      <c r="B242" s="10"/>
      <c r="C242" s="10"/>
      <c r="D242" s="10"/>
    </row>
    <row r="243" spans="1:4" s="6" customFormat="1" ht="12.75" customHeight="1">
      <c r="A243" s="10" t="s">
        <v>243</v>
      </c>
      <c r="B243" s="10"/>
      <c r="C243" s="10"/>
      <c r="D243" s="10"/>
    </row>
    <row r="244" spans="1:4" s="6" customFormat="1" ht="12.75" customHeight="1">
      <c r="A244" s="10" t="s">
        <v>245</v>
      </c>
      <c r="B244" s="10"/>
      <c r="C244" s="10"/>
      <c r="D244" s="10"/>
    </row>
    <row r="245" spans="1:4" s="6" customFormat="1" ht="12.75" customHeight="1">
      <c r="A245" s="10" t="s">
        <v>357</v>
      </c>
      <c r="B245" s="10"/>
      <c r="C245" s="10"/>
      <c r="D245" s="10"/>
    </row>
    <row r="246" spans="1:4" s="6" customFormat="1" ht="12.75" customHeight="1">
      <c r="A246" s="10" t="s">
        <v>576</v>
      </c>
      <c r="B246" s="10"/>
      <c r="C246" s="10"/>
      <c r="D246" s="10"/>
    </row>
    <row r="247" spans="1:4" s="6" customFormat="1" ht="12.75" customHeight="1">
      <c r="A247" s="10" t="s">
        <v>237</v>
      </c>
      <c r="B247" s="10"/>
      <c r="C247" s="10"/>
      <c r="D247" s="10"/>
    </row>
    <row r="248" spans="1:4" s="6" customFormat="1" ht="12.75" customHeight="1">
      <c r="A248" s="10" t="s">
        <v>367</v>
      </c>
      <c r="B248" s="10"/>
      <c r="C248" s="10"/>
      <c r="D248" s="10"/>
    </row>
    <row r="249" spans="1:4" s="6" customFormat="1" ht="12.75" customHeight="1">
      <c r="A249" s="10" t="s">
        <v>577</v>
      </c>
      <c r="B249" s="10"/>
      <c r="C249" s="10"/>
      <c r="D249" s="10"/>
    </row>
    <row r="250" spans="1:4" s="6" customFormat="1" ht="12.75" customHeight="1">
      <c r="A250" s="10" t="s">
        <v>599</v>
      </c>
      <c r="B250" s="10"/>
      <c r="C250" s="10"/>
      <c r="D250" s="10"/>
    </row>
    <row r="251" spans="1:4" s="6" customFormat="1" ht="12.75" customHeight="1">
      <c r="A251" s="10"/>
      <c r="B251" s="10"/>
      <c r="C251" s="10"/>
      <c r="D251" s="10"/>
    </row>
    <row r="252" spans="1:2" s="9" customFormat="1" ht="12.75" customHeight="1">
      <c r="A252" s="10" t="s">
        <v>83</v>
      </c>
      <c r="B252" s="164"/>
    </row>
    <row r="253" spans="1:2" s="9" customFormat="1" ht="12.75" customHeight="1">
      <c r="A253" s="10" t="s">
        <v>84</v>
      </c>
      <c r="B253" s="164"/>
    </row>
    <row r="254" spans="1:2" s="9" customFormat="1" ht="12.75" customHeight="1">
      <c r="A254" s="10" t="s">
        <v>89</v>
      </c>
      <c r="B254" s="164"/>
    </row>
    <row r="255" spans="1:2" ht="12.75" customHeight="1">
      <c r="A255" s="10" t="s">
        <v>85</v>
      </c>
      <c r="B255" s="2"/>
    </row>
    <row r="256" spans="1:2" ht="12.75" customHeight="1">
      <c r="A256" s="10" t="s">
        <v>86</v>
      </c>
      <c r="B256" s="2"/>
    </row>
    <row r="257" spans="1:2" ht="12.75" customHeight="1">
      <c r="A257" s="10" t="s">
        <v>87</v>
      </c>
      <c r="B257" s="2"/>
    </row>
    <row r="258" spans="1:2" ht="12.75" customHeight="1">
      <c r="A258" s="10" t="s">
        <v>88</v>
      </c>
      <c r="B258" s="2"/>
    </row>
    <row r="259" spans="1:2" ht="12.75" customHeight="1">
      <c r="A259" s="10" t="s">
        <v>148</v>
      </c>
      <c r="B259" s="2"/>
    </row>
    <row r="260" spans="1:2" ht="12.75" customHeight="1">
      <c r="A260" s="10" t="s">
        <v>611</v>
      </c>
      <c r="B260" s="2"/>
    </row>
    <row r="261" spans="1:2" ht="12.75" customHeight="1">
      <c r="A261" s="10" t="s">
        <v>92</v>
      </c>
      <c r="B261" s="2"/>
    </row>
    <row r="262" spans="1:2" ht="12.75" customHeight="1">
      <c r="A262" s="10"/>
      <c r="B262" s="2"/>
    </row>
    <row r="263" ht="12.75" customHeight="1">
      <c r="A263" s="10" t="s">
        <v>533</v>
      </c>
    </row>
    <row r="264" ht="12.75" customHeight="1">
      <c r="A264" s="10" t="s">
        <v>534</v>
      </c>
    </row>
    <row r="265" ht="12.75" customHeight="1">
      <c r="A265" s="10" t="s">
        <v>535</v>
      </c>
    </row>
    <row r="266" ht="12.75" customHeight="1">
      <c r="A266" s="10"/>
    </row>
    <row r="267" spans="1:2" ht="12.75" customHeight="1">
      <c r="A267" s="10" t="s">
        <v>90</v>
      </c>
      <c r="B267" s="2"/>
    </row>
    <row r="268" spans="1:2" ht="12.75" customHeight="1">
      <c r="A268" s="10" t="s">
        <v>91</v>
      </c>
      <c r="B268" s="2"/>
    </row>
    <row r="269" spans="1:2" ht="12.75" customHeight="1">
      <c r="A269" s="10" t="s">
        <v>93</v>
      </c>
      <c r="B269" s="2"/>
    </row>
    <row r="270" spans="1:2" ht="12.75" customHeight="1">
      <c r="A270" s="10" t="s">
        <v>600</v>
      </c>
      <c r="B270" s="2"/>
    </row>
    <row r="271" spans="1:2" ht="12.75" customHeight="1">
      <c r="A271" s="10" t="s">
        <v>7</v>
      </c>
      <c r="B271" s="2"/>
    </row>
    <row r="272" spans="1:2" ht="12.75" customHeight="1">
      <c r="A272" s="10" t="s">
        <v>94</v>
      </c>
      <c r="B272" s="2"/>
    </row>
    <row r="273" spans="1:2" ht="12.75" customHeight="1">
      <c r="A273" s="10"/>
      <c r="B273" s="2"/>
    </row>
    <row r="274" spans="1:2" ht="12.75" customHeight="1">
      <c r="A274" s="10" t="s">
        <v>149</v>
      </c>
      <c r="B274" s="2"/>
    </row>
    <row r="275" ht="12.75" customHeight="1"/>
    <row r="276" ht="12.75" customHeight="1"/>
    <row r="277" spans="1:9" ht="12.75">
      <c r="A277" s="58" t="s">
        <v>104</v>
      </c>
      <c r="B277" s="58"/>
      <c r="C277" s="58"/>
      <c r="D277" s="58"/>
      <c r="E277" s="58"/>
      <c r="F277" s="58"/>
      <c r="G277" s="58"/>
      <c r="H277" s="58"/>
      <c r="I277" s="58"/>
    </row>
    <row r="278" spans="1:9" ht="15.75">
      <c r="A278" s="163" t="s">
        <v>639</v>
      </c>
      <c r="B278" s="3"/>
      <c r="C278" s="3"/>
      <c r="D278" s="3"/>
      <c r="E278" s="3"/>
      <c r="F278" s="3"/>
      <c r="G278" s="3"/>
      <c r="H278" s="58"/>
      <c r="I278" s="58"/>
    </row>
    <row r="279" spans="1:9" ht="15.75">
      <c r="A279" s="163" t="s">
        <v>640</v>
      </c>
      <c r="B279" s="3"/>
      <c r="C279" s="3"/>
      <c r="D279" s="3"/>
      <c r="E279" s="3"/>
      <c r="F279" s="3"/>
      <c r="G279" s="3"/>
      <c r="H279" s="58"/>
      <c r="I279" s="58"/>
    </row>
    <row r="280" spans="1:9" ht="15.75">
      <c r="A280" s="163" t="s">
        <v>641</v>
      </c>
      <c r="B280" s="3"/>
      <c r="C280" s="3"/>
      <c r="D280" s="3"/>
      <c r="E280" s="3"/>
      <c r="F280" s="3"/>
      <c r="G280" s="3"/>
      <c r="H280" s="58"/>
      <c r="I280" s="58"/>
    </row>
    <row r="281" spans="1:9" ht="15.75">
      <c r="A281" s="163"/>
      <c r="B281" s="3"/>
      <c r="C281" s="3"/>
      <c r="D281" s="3"/>
      <c r="E281" s="3"/>
      <c r="F281" s="3"/>
      <c r="G281" s="3"/>
      <c r="H281" s="58"/>
      <c r="I281" s="58"/>
    </row>
    <row r="282" spans="1:9" ht="15.75">
      <c r="A282" s="163" t="s">
        <v>645</v>
      </c>
      <c r="B282" s="3"/>
      <c r="C282" s="3"/>
      <c r="D282" s="3"/>
      <c r="E282" s="3"/>
      <c r="F282" s="3"/>
      <c r="G282" s="3"/>
      <c r="H282" s="58"/>
      <c r="I282" s="58"/>
    </row>
    <row r="283" spans="1:9" ht="15.75">
      <c r="A283" s="163" t="s">
        <v>646</v>
      </c>
      <c r="B283" s="3"/>
      <c r="C283" s="3"/>
      <c r="D283" s="3"/>
      <c r="E283" s="3"/>
      <c r="F283" s="3"/>
      <c r="G283" s="3"/>
      <c r="H283" s="58"/>
      <c r="I283" s="58"/>
    </row>
    <row r="284" ht="12.75" customHeight="1"/>
    <row r="285" ht="12.75" customHeight="1">
      <c r="A285" t="s">
        <v>165</v>
      </c>
    </row>
    <row r="286" ht="12.75" customHeight="1">
      <c r="A286" t="s">
        <v>153</v>
      </c>
    </row>
    <row r="287" ht="12.75" customHeight="1">
      <c r="A287" t="s">
        <v>154</v>
      </c>
    </row>
    <row r="288" ht="12.75" customHeight="1">
      <c r="A288" t="s">
        <v>155</v>
      </c>
    </row>
    <row r="289" ht="12.75" customHeight="1">
      <c r="A289" t="s">
        <v>156</v>
      </c>
    </row>
    <row r="290" ht="12.75" customHeight="1">
      <c r="A290" t="s">
        <v>157</v>
      </c>
    </row>
    <row r="291" ht="12.75" customHeight="1">
      <c r="A291" t="s">
        <v>158</v>
      </c>
    </row>
    <row r="292" ht="12.75" customHeight="1">
      <c r="A292" t="s">
        <v>159</v>
      </c>
    </row>
    <row r="293" ht="12.75" customHeight="1">
      <c r="A293" t="s">
        <v>160</v>
      </c>
    </row>
    <row r="294" ht="12.75" customHeight="1">
      <c r="A294" t="s">
        <v>161</v>
      </c>
    </row>
    <row r="295" ht="12.75" customHeight="1"/>
    <row r="296" spans="1:10" ht="12.75" customHeight="1">
      <c r="A296" s="222" t="s">
        <v>661</v>
      </c>
      <c r="B296" s="223"/>
      <c r="C296" s="223"/>
      <c r="D296" s="223"/>
      <c r="E296" s="223"/>
      <c r="F296" s="223"/>
      <c r="G296" s="223"/>
      <c r="H296" s="223"/>
      <c r="I296" s="223"/>
      <c r="J296" s="223"/>
    </row>
    <row r="297" ht="12.75" customHeight="1">
      <c r="A297" t="s">
        <v>372</v>
      </c>
    </row>
    <row r="298" ht="12.75" customHeight="1">
      <c r="A298" t="s">
        <v>685</v>
      </c>
    </row>
    <row r="299" ht="12.75" customHeight="1">
      <c r="A299" t="s">
        <v>686</v>
      </c>
    </row>
    <row r="300" ht="12.75" customHeight="1">
      <c r="A300" t="s">
        <v>687</v>
      </c>
    </row>
    <row r="301" ht="12.75" customHeight="1">
      <c r="A301" t="s">
        <v>166</v>
      </c>
    </row>
    <row r="302" ht="12.75" customHeight="1">
      <c r="A302" t="s">
        <v>688</v>
      </c>
    </row>
    <row r="303" ht="12.75" customHeight="1">
      <c r="A303" t="s">
        <v>689</v>
      </c>
    </row>
    <row r="304" ht="12.75" customHeight="1">
      <c r="A304" t="s">
        <v>690</v>
      </c>
    </row>
    <row r="305" ht="12.75" customHeight="1">
      <c r="A305" t="s">
        <v>691</v>
      </c>
    </row>
    <row r="306" ht="12.75" customHeight="1"/>
    <row r="307" ht="12.75" customHeight="1">
      <c r="A307" t="s">
        <v>138</v>
      </c>
    </row>
    <row r="308" ht="12.75" customHeight="1">
      <c r="A308" t="s">
        <v>139</v>
      </c>
    </row>
    <row r="309" ht="12.75" customHeight="1"/>
    <row r="310" ht="12.75" customHeight="1">
      <c r="A310" t="s">
        <v>601</v>
      </c>
    </row>
    <row r="311" ht="12.75" customHeight="1">
      <c r="A311" t="s">
        <v>140</v>
      </c>
    </row>
    <row r="312" ht="12.75" customHeight="1">
      <c r="A312" t="s">
        <v>151</v>
      </c>
    </row>
    <row r="313" ht="12.75" customHeight="1">
      <c r="A313" t="s">
        <v>152</v>
      </c>
    </row>
    <row r="314" ht="12.75" customHeight="1"/>
    <row r="315" ht="12.75">
      <c r="A315" s="58" t="s">
        <v>546</v>
      </c>
    </row>
    <row r="316" spans="3:8" ht="12.75">
      <c r="C316" s="129" t="s">
        <v>215</v>
      </c>
      <c r="D316" s="13"/>
      <c r="E316" s="13"/>
      <c r="F316" s="14"/>
      <c r="G316" s="14"/>
      <c r="H316" s="13"/>
    </row>
    <row r="317" spans="3:9" ht="12.75">
      <c r="C317" s="130"/>
      <c r="D317" s="131" t="s">
        <v>324</v>
      </c>
      <c r="E317" s="131" t="s">
        <v>325</v>
      </c>
      <c r="F317" s="132" t="s">
        <v>326</v>
      </c>
      <c r="G317" s="132" t="s">
        <v>456</v>
      </c>
      <c r="H317" s="131" t="s">
        <v>327</v>
      </c>
      <c r="I317" s="131" t="s">
        <v>328</v>
      </c>
    </row>
    <row r="318" spans="3:9" ht="12.75">
      <c r="C318" s="133"/>
      <c r="D318" s="134" t="s">
        <v>327</v>
      </c>
      <c r="E318" s="134" t="s">
        <v>329</v>
      </c>
      <c r="F318" s="135" t="s">
        <v>330</v>
      </c>
      <c r="G318" s="135" t="s">
        <v>457</v>
      </c>
      <c r="H318" s="134" t="s">
        <v>325</v>
      </c>
      <c r="I318" s="134" t="s">
        <v>325</v>
      </c>
    </row>
    <row r="319" spans="3:9" ht="12.75">
      <c r="C319" s="136" t="s">
        <v>331</v>
      </c>
      <c r="D319" s="137" t="s">
        <v>332</v>
      </c>
      <c r="E319" s="138" t="s">
        <v>330</v>
      </c>
      <c r="F319" s="136" t="s">
        <v>450</v>
      </c>
      <c r="G319" s="136" t="s">
        <v>668</v>
      </c>
      <c r="H319" s="137" t="s">
        <v>373</v>
      </c>
      <c r="I319" s="137" t="s">
        <v>451</v>
      </c>
    </row>
    <row r="320" spans="3:9" ht="12.75">
      <c r="C320" s="139">
        <v>0</v>
      </c>
      <c r="D320" s="140" t="s">
        <v>215</v>
      </c>
      <c r="E320" s="140" t="s">
        <v>215</v>
      </c>
      <c r="F320" s="141" t="s">
        <v>215</v>
      </c>
      <c r="G320" s="139" t="s">
        <v>452</v>
      </c>
      <c r="H320" s="156" t="s">
        <v>215</v>
      </c>
      <c r="I320" s="156">
        <v>0</v>
      </c>
    </row>
    <row r="321" spans="3:9" ht="12.75">
      <c r="C321" s="142">
        <v>1</v>
      </c>
      <c r="D321" s="143">
        <v>1850</v>
      </c>
      <c r="E321" s="143">
        <v>2000</v>
      </c>
      <c r="F321" s="153">
        <f>E321-D321</f>
        <v>150</v>
      </c>
      <c r="G321" s="142" t="s">
        <v>453</v>
      </c>
      <c r="H321" s="153">
        <f>F321*4000</f>
        <v>600000</v>
      </c>
      <c r="I321" s="153">
        <f>PV(0.18/12,38-C321,-H321)</f>
        <v>16942276.439911563</v>
      </c>
    </row>
    <row r="322" spans="3:9" ht="12.75">
      <c r="C322" s="144">
        <v>2</v>
      </c>
      <c r="D322" s="145">
        <v>2100</v>
      </c>
      <c r="E322" s="145">
        <v>2000</v>
      </c>
      <c r="F322" s="154">
        <f>E322-D322</f>
        <v>-100</v>
      </c>
      <c r="G322" s="144" t="s">
        <v>454</v>
      </c>
      <c r="H322" s="154">
        <f>F322*4000</f>
        <v>-400000</v>
      </c>
      <c r="I322" s="154">
        <f>PV(0.18/12,38-C322,-H322)</f>
        <v>-11064273.724340163</v>
      </c>
    </row>
    <row r="323" spans="3:9" ht="12.75" customHeight="1">
      <c r="C323" s="146">
        <v>3</v>
      </c>
      <c r="D323" s="147">
        <v>2400</v>
      </c>
      <c r="E323" s="147">
        <v>2000</v>
      </c>
      <c r="F323" s="155">
        <f>E323-D323</f>
        <v>-400</v>
      </c>
      <c r="G323" s="146" t="s">
        <v>455</v>
      </c>
      <c r="H323" s="155">
        <f>F323*4000</f>
        <v>-1600000</v>
      </c>
      <c r="I323" s="155">
        <f>PV(0.18/12,38-C323,-H323)</f>
        <v>-43320951.32082107</v>
      </c>
    </row>
    <row r="324" ht="12.75" customHeight="1"/>
    <row r="325" ht="12.75" customHeight="1">
      <c r="A325" t="s">
        <v>459</v>
      </c>
    </row>
    <row r="326" ht="12.75" customHeight="1">
      <c r="A326" t="s">
        <v>460</v>
      </c>
    </row>
    <row r="327" ht="12.75" customHeight="1"/>
    <row r="328" ht="12.75" customHeight="1">
      <c r="A328" t="s">
        <v>677</v>
      </c>
    </row>
    <row r="329" ht="12.75" customHeight="1"/>
    <row r="330" spans="2:7" ht="12.75" customHeight="1">
      <c r="B330" s="41" t="s">
        <v>672</v>
      </c>
      <c r="D330" s="42"/>
      <c r="E330" s="42"/>
      <c r="F330" s="16"/>
      <c r="G330" s="17"/>
    </row>
    <row r="331" spans="2:7" ht="12.75" customHeight="1">
      <c r="B331" s="41" t="s">
        <v>673</v>
      </c>
      <c r="D331" s="43"/>
      <c r="E331" s="41"/>
      <c r="F331" s="31"/>
      <c r="G331" s="31"/>
    </row>
    <row r="332" spans="2:11" ht="12.75" customHeight="1">
      <c r="B332" s="224" t="s">
        <v>162</v>
      </c>
      <c r="C332" s="225"/>
      <c r="D332" s="225"/>
      <c r="E332" s="225"/>
      <c r="F332" s="225"/>
      <c r="G332" s="225"/>
      <c r="H332" s="225"/>
      <c r="I332" s="225"/>
      <c r="J332" s="225"/>
      <c r="K332" s="225"/>
    </row>
    <row r="333" spans="2:5" ht="12.75" customHeight="1">
      <c r="B333" s="2" t="s">
        <v>163</v>
      </c>
      <c r="D333" s="44"/>
      <c r="E333" s="44"/>
    </row>
    <row r="334" spans="2:5" ht="12.75" customHeight="1">
      <c r="B334" s="41" t="s">
        <v>675</v>
      </c>
      <c r="D334" s="44"/>
      <c r="E334" s="44"/>
    </row>
    <row r="335" spans="2:5" ht="12.75" customHeight="1">
      <c r="B335" s="45" t="s">
        <v>678</v>
      </c>
      <c r="D335" s="44"/>
      <c r="E335" s="44"/>
    </row>
    <row r="336" spans="2:5" ht="12.75" customHeight="1">
      <c r="B336" s="45"/>
      <c r="D336" s="44"/>
      <c r="E336" s="44"/>
    </row>
    <row r="337" ht="12.75" customHeight="1"/>
    <row r="338" ht="12.75" customHeight="1">
      <c r="A338" s="10" t="s">
        <v>164</v>
      </c>
    </row>
    <row r="339" spans="1:5" ht="12.75" customHeight="1">
      <c r="A339" s="15" t="s">
        <v>676</v>
      </c>
      <c r="B339" s="12"/>
      <c r="C339" s="13"/>
      <c r="D339" s="14"/>
      <c r="E339" s="14"/>
    </row>
    <row r="340" spans="1:4" ht="12.75" customHeight="1" thickBot="1">
      <c r="A340" s="12"/>
      <c r="B340" s="13"/>
      <c r="C340" s="14"/>
      <c r="D340" s="14"/>
    </row>
    <row r="341" spans="1:8" ht="12.75" customHeight="1" thickTop="1">
      <c r="A341" s="96" t="s">
        <v>668</v>
      </c>
      <c r="B341" s="19" t="s">
        <v>215</v>
      </c>
      <c r="C341" s="125" t="s">
        <v>571</v>
      </c>
      <c r="D341" s="19"/>
      <c r="E341" s="19"/>
      <c r="F341" s="20"/>
      <c r="G341" s="25"/>
      <c r="H341" s="39"/>
    </row>
    <row r="342" spans="1:9" ht="12.75" customHeight="1" thickBot="1">
      <c r="A342" s="40" t="s">
        <v>671</v>
      </c>
      <c r="B342" s="16"/>
      <c r="C342" s="124" t="s">
        <v>572</v>
      </c>
      <c r="D342" s="16"/>
      <c r="E342" s="16"/>
      <c r="F342" s="17"/>
      <c r="G342" s="28" t="s">
        <v>669</v>
      </c>
      <c r="H342" s="99" t="s">
        <v>670</v>
      </c>
      <c r="I342" s="11" t="s">
        <v>683</v>
      </c>
    </row>
    <row r="343" spans="1:9" ht="12.75" customHeight="1" thickTop="1">
      <c r="A343" s="37" t="s">
        <v>680</v>
      </c>
      <c r="B343" s="48" t="s">
        <v>672</v>
      </c>
      <c r="C343" s="49"/>
      <c r="D343" s="49"/>
      <c r="E343" s="49"/>
      <c r="F343" s="98"/>
      <c r="G343" s="83">
        <v>0</v>
      </c>
      <c r="H343" s="83">
        <v>0</v>
      </c>
      <c r="I343" s="52">
        <f>G343</f>
        <v>0</v>
      </c>
    </row>
    <row r="344" spans="1:9" s="10" customFormat="1" ht="12.75" customHeight="1">
      <c r="A344" s="26"/>
      <c r="B344" s="53"/>
      <c r="C344" s="53" t="s">
        <v>673</v>
      </c>
      <c r="D344" s="53"/>
      <c r="E344" s="53"/>
      <c r="F344" s="53"/>
      <c r="G344" s="84">
        <v>0</v>
      </c>
      <c r="H344" s="84">
        <v>0</v>
      </c>
      <c r="I344" s="52">
        <f>-H344</f>
        <v>0</v>
      </c>
    </row>
    <row r="345" spans="1:9" s="10" customFormat="1" ht="12.75" customHeight="1">
      <c r="A345" s="26"/>
      <c r="B345" s="56" t="s">
        <v>674</v>
      </c>
      <c r="C345" s="53"/>
      <c r="D345" s="53"/>
      <c r="E345" s="53"/>
      <c r="F345" s="53"/>
      <c r="G345" s="84"/>
      <c r="H345" s="84"/>
      <c r="I345" s="52"/>
    </row>
    <row r="346" spans="1:9" s="10" customFormat="1" ht="12.75" customHeight="1">
      <c r="A346" s="26"/>
      <c r="B346" s="53" t="s">
        <v>215</v>
      </c>
      <c r="C346" s="53"/>
      <c r="D346" s="53"/>
      <c r="E346" s="53"/>
      <c r="F346" s="53"/>
      <c r="G346" s="84"/>
      <c r="H346" s="84"/>
      <c r="I346" s="52"/>
    </row>
    <row r="347" spans="1:9" s="10" customFormat="1" ht="12.75" customHeight="1">
      <c r="A347" s="37" t="s">
        <v>681</v>
      </c>
      <c r="B347" s="53" t="s">
        <v>672</v>
      </c>
      <c r="C347" s="53"/>
      <c r="D347" s="53"/>
      <c r="E347" s="53"/>
      <c r="F347" s="53"/>
      <c r="G347" s="84">
        <f>1850*4000</f>
        <v>7400000</v>
      </c>
      <c r="H347" s="84">
        <v>0</v>
      </c>
      <c r="I347" s="52">
        <f>G347</f>
        <v>7400000</v>
      </c>
    </row>
    <row r="348" spans="1:9" s="10" customFormat="1" ht="12.75" customHeight="1">
      <c r="A348" s="38"/>
      <c r="B348" s="53"/>
      <c r="C348" s="2" t="s">
        <v>320</v>
      </c>
      <c r="D348" s="53"/>
      <c r="E348" s="53"/>
      <c r="F348" s="53"/>
      <c r="G348" s="84">
        <v>0</v>
      </c>
      <c r="H348" s="84">
        <f>I347</f>
        <v>7400000</v>
      </c>
      <c r="I348" s="52">
        <f>-H348</f>
        <v>-7400000</v>
      </c>
    </row>
    <row r="349" spans="1:9" s="10" customFormat="1" ht="12.75" customHeight="1">
      <c r="A349" s="38"/>
      <c r="B349" s="56" t="s">
        <v>295</v>
      </c>
      <c r="C349" s="53"/>
      <c r="D349" s="53"/>
      <c r="E349" s="53"/>
      <c r="F349" s="53"/>
      <c r="G349" s="84"/>
      <c r="H349" s="84"/>
      <c r="I349" s="52"/>
    </row>
    <row r="350" spans="1:9" s="10" customFormat="1" ht="12.75" customHeight="1">
      <c r="A350" s="38"/>
      <c r="B350" s="53"/>
      <c r="C350" s="53"/>
      <c r="D350" s="53"/>
      <c r="E350" s="53"/>
      <c r="F350" s="53"/>
      <c r="G350" s="84"/>
      <c r="H350" s="84"/>
      <c r="I350" s="52"/>
    </row>
    <row r="351" spans="1:9" s="10" customFormat="1" ht="12.75" customHeight="1">
      <c r="A351" s="37" t="s">
        <v>681</v>
      </c>
      <c r="B351" s="53" t="s">
        <v>672</v>
      </c>
      <c r="C351" s="53"/>
      <c r="D351" s="53"/>
      <c r="E351" s="53"/>
      <c r="F351" s="53"/>
      <c r="G351" s="84">
        <f>(2000-1850)*(4000)</f>
        <v>600000</v>
      </c>
      <c r="H351" s="84">
        <v>0</v>
      </c>
      <c r="I351" s="52">
        <f>G351+I347</f>
        <v>8000000</v>
      </c>
    </row>
    <row r="352" spans="1:9" ht="12.75" customHeight="1">
      <c r="A352" s="26"/>
      <c r="B352" s="53"/>
      <c r="C352" s="2" t="s">
        <v>320</v>
      </c>
      <c r="D352" s="53"/>
      <c r="E352" s="53"/>
      <c r="F352" s="53"/>
      <c r="G352" s="84">
        <v>0</v>
      </c>
      <c r="H352" s="84">
        <f>G351</f>
        <v>600000</v>
      </c>
      <c r="I352" s="52">
        <f>G352-H352+I348</f>
        <v>-8000000</v>
      </c>
    </row>
    <row r="353" spans="1:9" ht="12.75" customHeight="1">
      <c r="A353" s="26"/>
      <c r="B353" s="56" t="s">
        <v>296</v>
      </c>
      <c r="C353" s="53"/>
      <c r="D353" s="53"/>
      <c r="E353" s="53"/>
      <c r="F353" s="53"/>
      <c r="G353" s="84"/>
      <c r="H353" s="84"/>
      <c r="I353" s="52"/>
    </row>
    <row r="354" spans="1:9" ht="12.75" customHeight="1">
      <c r="A354" s="26"/>
      <c r="B354" s="56"/>
      <c r="C354" s="53"/>
      <c r="D354" s="53"/>
      <c r="E354" s="53"/>
      <c r="F354" s="53"/>
      <c r="G354" s="84"/>
      <c r="H354" s="84"/>
      <c r="I354" s="52"/>
    </row>
    <row r="355" spans="1:9" s="10" customFormat="1" ht="12.75" customHeight="1">
      <c r="A355" s="37" t="s">
        <v>681</v>
      </c>
      <c r="B355" s="53" t="s">
        <v>673</v>
      </c>
      <c r="C355" s="53"/>
      <c r="D355" s="53"/>
      <c r="E355" s="53"/>
      <c r="F355" s="54"/>
      <c r="G355" s="84">
        <f>I321</f>
        <v>16942276.439911563</v>
      </c>
      <c r="H355" s="84">
        <v>0</v>
      </c>
      <c r="I355" s="52">
        <f>G355-H355</f>
        <v>16942276.439911563</v>
      </c>
    </row>
    <row r="356" spans="1:9" s="10" customFormat="1" ht="12.75" customHeight="1">
      <c r="A356" s="38"/>
      <c r="B356" s="93"/>
      <c r="C356" s="53" t="s">
        <v>675</v>
      </c>
      <c r="D356" s="53"/>
      <c r="E356" s="53"/>
      <c r="F356" s="54"/>
      <c r="G356" s="84">
        <f>H355</f>
        <v>0</v>
      </c>
      <c r="H356" s="84">
        <f>G355</f>
        <v>16942276.439911563</v>
      </c>
      <c r="I356" s="52">
        <f>G356-H356</f>
        <v>-16942276.439911563</v>
      </c>
    </row>
    <row r="357" spans="1:9" s="10" customFormat="1" ht="12.75" customHeight="1">
      <c r="A357" s="38"/>
      <c r="B357" s="93" t="s">
        <v>458</v>
      </c>
      <c r="C357" s="53"/>
      <c r="D357" s="53"/>
      <c r="E357" s="53"/>
      <c r="F357" s="54"/>
      <c r="G357" s="84"/>
      <c r="H357" s="84"/>
      <c r="I357" s="52"/>
    </row>
    <row r="358" spans="1:9" ht="12.75" customHeight="1">
      <c r="A358" s="26"/>
      <c r="B358" s="56"/>
      <c r="C358" s="53"/>
      <c r="D358" s="53"/>
      <c r="E358" s="53"/>
      <c r="F358" s="53"/>
      <c r="G358" s="84"/>
      <c r="H358" s="84"/>
      <c r="I358" s="52"/>
    </row>
    <row r="359" spans="1:9" ht="12.75" customHeight="1">
      <c r="A359" s="37" t="s">
        <v>681</v>
      </c>
      <c r="B359" s="2" t="s">
        <v>320</v>
      </c>
      <c r="C359" s="53"/>
      <c r="D359" s="53"/>
      <c r="E359" s="53"/>
      <c r="F359" s="53"/>
      <c r="G359" s="84">
        <f>-I352</f>
        <v>8000000</v>
      </c>
      <c r="H359" s="84">
        <v>0</v>
      </c>
      <c r="I359" s="52">
        <f>G359-H359+I352</f>
        <v>0</v>
      </c>
    </row>
    <row r="360" spans="1:9" ht="12.75" customHeight="1">
      <c r="A360" s="26"/>
      <c r="B360" s="56"/>
      <c r="C360" s="53" t="s">
        <v>679</v>
      </c>
      <c r="D360" s="53"/>
      <c r="E360" s="53"/>
      <c r="F360" s="53"/>
      <c r="G360" s="84">
        <v>0</v>
      </c>
      <c r="H360" s="84">
        <f>G359</f>
        <v>8000000</v>
      </c>
      <c r="I360" s="52">
        <f>G360-H360</f>
        <v>-8000000</v>
      </c>
    </row>
    <row r="361" spans="1:9" ht="12.75" customHeight="1">
      <c r="A361" s="26"/>
      <c r="B361" s="56" t="s">
        <v>642</v>
      </c>
      <c r="C361" s="53"/>
      <c r="D361" s="53"/>
      <c r="E361" s="53"/>
      <c r="F361" s="53"/>
      <c r="G361" s="84"/>
      <c r="H361" s="84"/>
      <c r="I361" s="57"/>
    </row>
    <row r="362" spans="1:9" ht="12.75" customHeight="1" thickBot="1">
      <c r="A362" s="27"/>
      <c r="B362" s="33"/>
      <c r="C362" s="34"/>
      <c r="D362" s="34"/>
      <c r="E362" s="34"/>
      <c r="F362" s="34"/>
      <c r="G362" s="97"/>
      <c r="H362" s="97"/>
      <c r="I362" s="11"/>
    </row>
    <row r="363" spans="1:9" ht="12.75" customHeight="1">
      <c r="A363" s="31"/>
      <c r="B363" s="59"/>
      <c r="C363" s="31"/>
      <c r="D363" s="31"/>
      <c r="E363" s="31"/>
      <c r="F363" s="31"/>
      <c r="G363" s="151"/>
      <c r="H363" s="151"/>
      <c r="I363" s="11"/>
    </row>
    <row r="364" ht="12.75" customHeight="1" thickBot="1">
      <c r="A364" s="152"/>
    </row>
    <row r="365" spans="1:8" ht="12.75" customHeight="1" thickTop="1">
      <c r="A365" s="100" t="s">
        <v>668</v>
      </c>
      <c r="B365" s="29" t="s">
        <v>215</v>
      </c>
      <c r="C365" s="125" t="s">
        <v>571</v>
      </c>
      <c r="D365" s="29"/>
      <c r="E365" s="29"/>
      <c r="F365" s="30"/>
      <c r="G365" s="23"/>
      <c r="H365" s="21"/>
    </row>
    <row r="366" spans="1:9" ht="12.75" customHeight="1" thickBot="1">
      <c r="A366" s="24" t="s">
        <v>671</v>
      </c>
      <c r="B366" s="46"/>
      <c r="C366" s="124" t="s">
        <v>572</v>
      </c>
      <c r="D366" s="46"/>
      <c r="E366" s="46"/>
      <c r="F366" s="47"/>
      <c r="G366" s="24" t="s">
        <v>669</v>
      </c>
      <c r="H366" s="22" t="s">
        <v>670</v>
      </c>
      <c r="I366" s="11" t="s">
        <v>683</v>
      </c>
    </row>
    <row r="367" spans="1:9" s="10" customFormat="1" ht="12.75" customHeight="1">
      <c r="A367" s="26"/>
      <c r="B367" s="31" t="s">
        <v>215</v>
      </c>
      <c r="C367" s="126"/>
      <c r="D367" s="31"/>
      <c r="E367" s="31"/>
      <c r="F367" s="32"/>
      <c r="G367" s="26"/>
      <c r="H367" s="26"/>
      <c r="I367" s="11" t="s">
        <v>215</v>
      </c>
    </row>
    <row r="368" spans="1:9" s="10" customFormat="1" ht="12.75" customHeight="1">
      <c r="A368" s="37" t="s">
        <v>682</v>
      </c>
      <c r="B368" s="53" t="s">
        <v>672</v>
      </c>
      <c r="C368" s="53"/>
      <c r="D368" s="53"/>
      <c r="E368" s="53"/>
      <c r="F368" s="54"/>
      <c r="G368" s="84">
        <f>2100*4000</f>
        <v>8400000</v>
      </c>
      <c r="H368" s="84">
        <v>0</v>
      </c>
      <c r="I368" s="52">
        <f>G368-H368+I351</f>
        <v>16400000</v>
      </c>
    </row>
    <row r="369" spans="1:9" s="10" customFormat="1" ht="12.75" customHeight="1">
      <c r="A369" s="38"/>
      <c r="B369" s="53"/>
      <c r="C369" s="2" t="s">
        <v>320</v>
      </c>
      <c r="D369" s="53"/>
      <c r="E369" s="53"/>
      <c r="F369" s="54"/>
      <c r="G369" s="84">
        <v>0</v>
      </c>
      <c r="H369" s="84">
        <f>G368</f>
        <v>8400000</v>
      </c>
      <c r="I369" s="52">
        <f>G369-H369</f>
        <v>-8400000</v>
      </c>
    </row>
    <row r="370" spans="1:9" s="10" customFormat="1" ht="12.75" customHeight="1">
      <c r="A370" s="38"/>
      <c r="B370" s="56" t="s">
        <v>295</v>
      </c>
      <c r="C370" s="53"/>
      <c r="D370" s="53"/>
      <c r="E370" s="53"/>
      <c r="F370" s="54"/>
      <c r="G370" s="84"/>
      <c r="H370" s="84"/>
      <c r="I370" s="52"/>
    </row>
    <row r="371" spans="1:9" s="10" customFormat="1" ht="12.75" customHeight="1">
      <c r="A371" s="38"/>
      <c r="B371" s="53"/>
      <c r="C371" s="53"/>
      <c r="D371" s="53"/>
      <c r="E371" s="53"/>
      <c r="F371" s="54"/>
      <c r="G371" s="84"/>
      <c r="H371" s="84"/>
      <c r="I371" s="52"/>
    </row>
    <row r="372" spans="1:9" s="10" customFormat="1" ht="12.75" customHeight="1">
      <c r="A372" s="37" t="s">
        <v>682</v>
      </c>
      <c r="B372" s="53" t="s">
        <v>672</v>
      </c>
      <c r="C372" s="53" t="s">
        <v>215</v>
      </c>
      <c r="D372" s="53"/>
      <c r="E372" s="53"/>
      <c r="F372" s="54"/>
      <c r="G372" s="84">
        <v>0</v>
      </c>
      <c r="H372" s="84">
        <f>(2100-2000)*(4000)</f>
        <v>400000</v>
      </c>
      <c r="I372" s="52">
        <f>G372-H372+I368</f>
        <v>16000000</v>
      </c>
    </row>
    <row r="373" spans="1:9" ht="12.75" customHeight="1">
      <c r="A373" s="26"/>
      <c r="C373" s="2" t="s">
        <v>320</v>
      </c>
      <c r="D373" s="53"/>
      <c r="E373" s="53"/>
      <c r="F373" s="54"/>
      <c r="G373" s="84">
        <f>H372</f>
        <v>400000</v>
      </c>
      <c r="H373" s="84">
        <v>0</v>
      </c>
      <c r="I373" s="52">
        <f>G373-H373+I369</f>
        <v>-8000000</v>
      </c>
    </row>
    <row r="374" spans="1:9" ht="12.75" customHeight="1">
      <c r="A374" s="26"/>
      <c r="B374" s="56" t="s">
        <v>296</v>
      </c>
      <c r="C374" s="53"/>
      <c r="D374" s="53"/>
      <c r="E374" s="53"/>
      <c r="F374" s="54"/>
      <c r="G374" s="84"/>
      <c r="H374" s="84"/>
      <c r="I374" s="52"/>
    </row>
    <row r="375" spans="1:9" ht="12.75" customHeight="1">
      <c r="A375" s="26"/>
      <c r="B375" s="56"/>
      <c r="C375" s="53"/>
      <c r="D375" s="53"/>
      <c r="E375" s="53"/>
      <c r="F375" s="54"/>
      <c r="G375" s="84"/>
      <c r="H375" s="84"/>
      <c r="I375" s="52"/>
    </row>
    <row r="376" spans="1:9" s="10" customFormat="1" ht="12.75" customHeight="1">
      <c r="A376" s="37" t="s">
        <v>682</v>
      </c>
      <c r="B376" s="53" t="s">
        <v>673</v>
      </c>
      <c r="C376" s="53"/>
      <c r="D376" s="53"/>
      <c r="E376" s="53"/>
      <c r="F376" s="54"/>
      <c r="G376" s="84">
        <v>0</v>
      </c>
      <c r="H376" s="84">
        <f>I355-I322</f>
        <v>28006550.164251726</v>
      </c>
      <c r="I376" s="52">
        <f>G376-H376+I355</f>
        <v>-11064273.724340163</v>
      </c>
    </row>
    <row r="377" spans="1:9" s="10" customFormat="1" ht="12.75" customHeight="1">
      <c r="A377" s="38"/>
      <c r="B377" s="93"/>
      <c r="C377" s="53" t="s">
        <v>675</v>
      </c>
      <c r="D377" s="53"/>
      <c r="E377" s="53"/>
      <c r="F377" s="54"/>
      <c r="G377" s="84">
        <f>H376</f>
        <v>28006550.164251726</v>
      </c>
      <c r="H377" s="84">
        <f>G376</f>
        <v>0</v>
      </c>
      <c r="I377" s="52">
        <f>G377-H377+I356</f>
        <v>11064273.724340163</v>
      </c>
    </row>
    <row r="378" spans="1:9" s="10" customFormat="1" ht="12.75" customHeight="1">
      <c r="A378" s="38"/>
      <c r="B378" s="93" t="s">
        <v>458</v>
      </c>
      <c r="C378" s="53"/>
      <c r="D378" s="53"/>
      <c r="E378" s="53"/>
      <c r="F378" s="54"/>
      <c r="G378" s="84"/>
      <c r="H378" s="84"/>
      <c r="I378" s="52"/>
    </row>
    <row r="379" spans="1:9" ht="12.75" customHeight="1">
      <c r="A379" s="26"/>
      <c r="B379" s="56"/>
      <c r="C379" s="53"/>
      <c r="D379" s="53"/>
      <c r="E379" s="53"/>
      <c r="F379" s="54"/>
      <c r="G379" s="84"/>
      <c r="H379" s="84"/>
      <c r="I379" s="52"/>
    </row>
    <row r="380" spans="1:9" ht="12.75" customHeight="1">
      <c r="A380" s="37" t="s">
        <v>682</v>
      </c>
      <c r="B380" s="2" t="s">
        <v>320</v>
      </c>
      <c r="C380" s="53"/>
      <c r="D380" s="53"/>
      <c r="E380" s="53"/>
      <c r="F380" s="54"/>
      <c r="G380" s="84">
        <f>-I373</f>
        <v>8000000</v>
      </c>
      <c r="H380" s="84">
        <v>0</v>
      </c>
      <c r="I380" s="52">
        <f>G380-H380++I373</f>
        <v>0</v>
      </c>
    </row>
    <row r="381" spans="1:9" ht="12.75" customHeight="1">
      <c r="A381" s="26"/>
      <c r="B381" s="56"/>
      <c r="C381" s="53" t="s">
        <v>679</v>
      </c>
      <c r="D381" s="53"/>
      <c r="E381" s="53"/>
      <c r="F381" s="54"/>
      <c r="G381" s="84">
        <v>0</v>
      </c>
      <c r="H381" s="84">
        <f>G380</f>
        <v>8000000</v>
      </c>
      <c r="I381" s="52">
        <f>G381-H381+I360</f>
        <v>-16000000</v>
      </c>
    </row>
    <row r="382" spans="1:9" ht="12.75" customHeight="1">
      <c r="A382" s="26"/>
      <c r="B382" s="56" t="s">
        <v>642</v>
      </c>
      <c r="C382" s="53"/>
      <c r="D382" s="53"/>
      <c r="E382" s="53"/>
      <c r="F382" s="54"/>
      <c r="G382" s="84"/>
      <c r="H382" s="84"/>
      <c r="I382" s="58"/>
    </row>
    <row r="383" spans="1:8" ht="12.75" customHeight="1" thickBot="1">
      <c r="A383" s="27"/>
      <c r="B383" s="33"/>
      <c r="C383" s="34"/>
      <c r="D383" s="34"/>
      <c r="E383" s="34"/>
      <c r="F383" s="35"/>
      <c r="G383" s="27"/>
      <c r="H383" s="27"/>
    </row>
    <row r="385" ht="13.5" thickBot="1">
      <c r="J385" s="11"/>
    </row>
    <row r="386" spans="1:8" ht="12.75" customHeight="1" thickTop="1">
      <c r="A386" s="100" t="s">
        <v>668</v>
      </c>
      <c r="B386" s="29" t="s">
        <v>215</v>
      </c>
      <c r="C386" s="125" t="s">
        <v>571</v>
      </c>
      <c r="D386" s="29"/>
      <c r="E386" s="29"/>
      <c r="F386" s="30"/>
      <c r="G386" s="23"/>
      <c r="H386" s="21"/>
    </row>
    <row r="387" spans="1:9" ht="12.75" customHeight="1" thickBot="1">
      <c r="A387" s="24" t="s">
        <v>671</v>
      </c>
      <c r="B387" s="46"/>
      <c r="C387" s="124" t="s">
        <v>572</v>
      </c>
      <c r="D387" s="46"/>
      <c r="E387" s="46"/>
      <c r="F387" s="47"/>
      <c r="G387" s="24" t="s">
        <v>669</v>
      </c>
      <c r="H387" s="22" t="s">
        <v>670</v>
      </c>
      <c r="I387" s="11" t="s">
        <v>683</v>
      </c>
    </row>
    <row r="388" spans="1:9" s="10" customFormat="1" ht="12.75" customHeight="1">
      <c r="A388" s="26"/>
      <c r="B388" s="31" t="s">
        <v>215</v>
      </c>
      <c r="C388" s="126"/>
      <c r="D388" s="31"/>
      <c r="E388" s="31"/>
      <c r="F388" s="32"/>
      <c r="G388" s="101"/>
      <c r="H388" s="101"/>
      <c r="I388" s="11" t="s">
        <v>215</v>
      </c>
    </row>
    <row r="389" spans="1:9" s="10" customFormat="1" ht="12.75" customHeight="1">
      <c r="A389" s="37" t="s">
        <v>684</v>
      </c>
      <c r="B389" s="53" t="s">
        <v>672</v>
      </c>
      <c r="C389" s="53"/>
      <c r="D389" s="53"/>
      <c r="E389" s="53"/>
      <c r="F389" s="54"/>
      <c r="G389" s="84">
        <f>2400*4000</f>
        <v>9600000</v>
      </c>
      <c r="H389" s="84">
        <v>0</v>
      </c>
      <c r="I389" s="52">
        <f>G389-H389+I372</f>
        <v>25600000</v>
      </c>
    </row>
    <row r="390" spans="1:9" s="10" customFormat="1" ht="12.75" customHeight="1">
      <c r="A390" s="38"/>
      <c r="B390" s="53"/>
      <c r="C390" s="2" t="s">
        <v>320</v>
      </c>
      <c r="D390" s="53"/>
      <c r="E390" s="53"/>
      <c r="F390" s="54"/>
      <c r="G390" s="84"/>
      <c r="H390" s="84">
        <f>G389</f>
        <v>9600000</v>
      </c>
      <c r="I390" s="52">
        <f>G390-H390</f>
        <v>-9600000</v>
      </c>
    </row>
    <row r="391" spans="1:9" s="10" customFormat="1" ht="12.75" customHeight="1">
      <c r="A391" s="38"/>
      <c r="B391" s="56" t="s">
        <v>295</v>
      </c>
      <c r="C391" s="53"/>
      <c r="D391" s="53"/>
      <c r="E391" s="53"/>
      <c r="F391" s="54"/>
      <c r="G391" s="84"/>
      <c r="H391" s="84"/>
      <c r="I391" s="52"/>
    </row>
    <row r="392" spans="1:9" s="10" customFormat="1" ht="12.75" customHeight="1">
      <c r="A392" s="38"/>
      <c r="B392" s="53"/>
      <c r="C392" s="53"/>
      <c r="D392" s="53"/>
      <c r="E392" s="53"/>
      <c r="F392" s="54"/>
      <c r="G392" s="84"/>
      <c r="H392" s="84"/>
      <c r="I392" s="52"/>
    </row>
    <row r="393" spans="1:9" s="10" customFormat="1" ht="12.75" customHeight="1">
      <c r="A393" s="37" t="s">
        <v>684</v>
      </c>
      <c r="B393" s="53" t="s">
        <v>672</v>
      </c>
      <c r="D393" s="53"/>
      <c r="E393" s="53"/>
      <c r="F393" s="54"/>
      <c r="G393" s="84">
        <v>0</v>
      </c>
      <c r="H393" s="84">
        <f>(2400-2000)*(4000)</f>
        <v>1600000</v>
      </c>
      <c r="I393" s="52">
        <f>G393-H393+I389</f>
        <v>24000000</v>
      </c>
    </row>
    <row r="394" spans="1:9" ht="12.75" customHeight="1">
      <c r="A394" s="26"/>
      <c r="C394" s="2" t="s">
        <v>320</v>
      </c>
      <c r="D394" s="53"/>
      <c r="E394" s="53"/>
      <c r="F394" s="54"/>
      <c r="G394" s="84">
        <f>H393</f>
        <v>1600000</v>
      </c>
      <c r="H394" s="84">
        <v>0</v>
      </c>
      <c r="I394" s="52">
        <f>G394-H394+I390</f>
        <v>-8000000</v>
      </c>
    </row>
    <row r="395" spans="1:9" ht="12.75" customHeight="1">
      <c r="A395" s="26"/>
      <c r="B395" s="56" t="s">
        <v>296</v>
      </c>
      <c r="C395" s="53"/>
      <c r="D395" s="53"/>
      <c r="E395" s="53"/>
      <c r="F395" s="54"/>
      <c r="G395" s="84"/>
      <c r="H395" s="84"/>
      <c r="I395" s="52"/>
    </row>
    <row r="396" spans="1:9" ht="12.75" customHeight="1">
      <c r="A396" s="26"/>
      <c r="B396" s="56"/>
      <c r="C396" s="53"/>
      <c r="D396" s="53"/>
      <c r="E396" s="53"/>
      <c r="F396" s="54"/>
      <c r="G396" s="84"/>
      <c r="H396" s="84"/>
      <c r="I396" s="52"/>
    </row>
    <row r="397" spans="1:9" s="10" customFormat="1" ht="12.75" customHeight="1">
      <c r="A397" s="37" t="s">
        <v>684</v>
      </c>
      <c r="B397" s="53" t="s">
        <v>673</v>
      </c>
      <c r="C397" s="53"/>
      <c r="D397" s="53"/>
      <c r="E397" s="53"/>
      <c r="F397" s="54"/>
      <c r="G397" s="84">
        <v>0</v>
      </c>
      <c r="H397" s="84">
        <f>I376-I323</f>
        <v>32256677.596480906</v>
      </c>
      <c r="I397" s="52">
        <f>G397-H397+I376</f>
        <v>-43320951.32082107</v>
      </c>
    </row>
    <row r="398" spans="1:9" s="10" customFormat="1" ht="12.75" customHeight="1">
      <c r="A398" s="38"/>
      <c r="B398" s="93"/>
      <c r="C398" s="53" t="s">
        <v>675</v>
      </c>
      <c r="D398" s="53"/>
      <c r="E398" s="53"/>
      <c r="F398" s="54"/>
      <c r="G398" s="84">
        <f>H397</f>
        <v>32256677.596480906</v>
      </c>
      <c r="H398" s="84">
        <f>G397</f>
        <v>0</v>
      </c>
      <c r="I398" s="52">
        <f>G398-H398+I377</f>
        <v>43320951.32082107</v>
      </c>
    </row>
    <row r="399" spans="1:9" s="10" customFormat="1" ht="12.75" customHeight="1">
      <c r="A399" s="38"/>
      <c r="B399" s="93" t="s">
        <v>458</v>
      </c>
      <c r="C399" s="53"/>
      <c r="D399" s="53"/>
      <c r="E399" s="53"/>
      <c r="F399" s="54"/>
      <c r="G399" s="84"/>
      <c r="H399" s="84"/>
      <c r="I399" s="52"/>
    </row>
    <row r="400" spans="1:9" s="10" customFormat="1" ht="12.75" customHeight="1">
      <c r="A400" s="38"/>
      <c r="B400" s="56"/>
      <c r="C400" s="53"/>
      <c r="D400" s="53"/>
      <c r="E400" s="53"/>
      <c r="F400" s="54"/>
      <c r="G400" s="84"/>
      <c r="H400" s="84"/>
      <c r="I400" s="52"/>
    </row>
    <row r="401" spans="1:9" ht="12.75" customHeight="1">
      <c r="A401" s="37" t="s">
        <v>684</v>
      </c>
      <c r="B401" s="2" t="s">
        <v>320</v>
      </c>
      <c r="C401" s="53"/>
      <c r="D401" s="53"/>
      <c r="E401" s="53"/>
      <c r="F401" s="54"/>
      <c r="G401" s="84">
        <f>-I394</f>
        <v>8000000</v>
      </c>
      <c r="H401" s="84">
        <v>0</v>
      </c>
      <c r="I401" s="52">
        <f>G401-H401+I394</f>
        <v>0</v>
      </c>
    </row>
    <row r="402" spans="1:9" ht="12.75" customHeight="1">
      <c r="A402" s="26"/>
      <c r="B402" s="56"/>
      <c r="C402" s="53" t="s">
        <v>679</v>
      </c>
      <c r="D402" s="53"/>
      <c r="E402" s="53"/>
      <c r="F402" s="54"/>
      <c r="G402" s="84">
        <v>0</v>
      </c>
      <c r="H402" s="84">
        <f>G401</f>
        <v>8000000</v>
      </c>
      <c r="I402" s="52">
        <f>G402-H402+I381</f>
        <v>-24000000</v>
      </c>
    </row>
    <row r="403" spans="1:9" ht="12.75" customHeight="1">
      <c r="A403" s="26"/>
      <c r="B403" s="56" t="s">
        <v>642</v>
      </c>
      <c r="C403" s="53"/>
      <c r="D403" s="53"/>
      <c r="E403" s="53"/>
      <c r="F403" s="54"/>
      <c r="G403" s="84"/>
      <c r="H403" s="84"/>
      <c r="I403" s="58"/>
    </row>
    <row r="404" spans="1:8" ht="12.75" customHeight="1" thickBot="1">
      <c r="A404" s="27"/>
      <c r="B404" s="33"/>
      <c r="C404" s="34"/>
      <c r="D404" s="34"/>
      <c r="E404" s="34"/>
      <c r="F404" s="35"/>
      <c r="G404" s="27"/>
      <c r="H404" s="27"/>
    </row>
    <row r="405" spans="1:8" ht="12.75" customHeight="1">
      <c r="A405" s="31"/>
      <c r="B405" s="59"/>
      <c r="C405" s="31"/>
      <c r="D405" s="31"/>
      <c r="E405" s="31"/>
      <c r="F405" s="31"/>
      <c r="G405" s="31"/>
      <c r="H405" s="31"/>
    </row>
    <row r="406" spans="1:8" ht="12.75" customHeight="1">
      <c r="A406" s="31"/>
      <c r="B406" s="59"/>
      <c r="C406" s="31"/>
      <c r="D406" s="31"/>
      <c r="E406" s="31"/>
      <c r="F406" s="31"/>
      <c r="G406" s="31"/>
      <c r="H406" s="31"/>
    </row>
    <row r="407" spans="1:8" ht="12.75" customHeight="1">
      <c r="A407" s="3" t="s">
        <v>105</v>
      </c>
      <c r="B407" s="59"/>
      <c r="C407" s="31"/>
      <c r="D407" s="31"/>
      <c r="E407" s="31"/>
      <c r="F407" s="31"/>
      <c r="G407" s="31"/>
      <c r="H407" s="31"/>
    </row>
    <row r="408" spans="1:10" ht="12.75" customHeight="1">
      <c r="A408" s="222" t="s">
        <v>167</v>
      </c>
      <c r="B408" s="223"/>
      <c r="C408" s="223"/>
      <c r="D408" s="223"/>
      <c r="E408" s="223"/>
      <c r="F408" s="223"/>
      <c r="G408" s="223"/>
      <c r="H408" s="223"/>
      <c r="I408" s="223"/>
      <c r="J408" s="223"/>
    </row>
    <row r="409" ht="12.75" customHeight="1"/>
    <row r="410" ht="12.75" customHeight="1">
      <c r="A410" t="s">
        <v>602</v>
      </c>
    </row>
    <row r="411" ht="12.75" customHeight="1">
      <c r="A411" t="s">
        <v>194</v>
      </c>
    </row>
    <row r="412" ht="12.75" customHeight="1">
      <c r="A412" t="s">
        <v>195</v>
      </c>
    </row>
    <row r="413" ht="12.75" customHeight="1">
      <c r="A413" t="s">
        <v>196</v>
      </c>
    </row>
    <row r="414" ht="12.75" customHeight="1">
      <c r="A414" t="s">
        <v>197</v>
      </c>
    </row>
    <row r="415" ht="12.75" customHeight="1">
      <c r="A415" t="s">
        <v>120</v>
      </c>
    </row>
    <row r="416" ht="12.75" customHeight="1">
      <c r="A416" t="s">
        <v>122</v>
      </c>
    </row>
    <row r="417" ht="12.75" customHeight="1">
      <c r="A417" s="6" t="s">
        <v>121</v>
      </c>
    </row>
    <row r="418" ht="12.75" customHeight="1"/>
    <row r="419" spans="1:8" ht="12.75" customHeight="1">
      <c r="A419" s="31"/>
      <c r="B419" s="59"/>
      <c r="C419" s="31"/>
      <c r="D419" s="31"/>
      <c r="E419" s="31"/>
      <c r="F419" s="31"/>
      <c r="G419" s="31"/>
      <c r="H419" s="31"/>
    </row>
    <row r="420" spans="1:8" ht="12.75" customHeight="1">
      <c r="A420" s="31" t="s">
        <v>168</v>
      </c>
      <c r="B420" s="59"/>
      <c r="C420" s="31"/>
      <c r="D420" s="31"/>
      <c r="E420" s="31"/>
      <c r="F420" s="31"/>
      <c r="G420" s="31"/>
      <c r="H420" s="31"/>
    </row>
    <row r="421" spans="1:8" ht="12.75" customHeight="1">
      <c r="A421" s="31"/>
      <c r="B421" s="59"/>
      <c r="C421" s="31"/>
      <c r="D421" s="31"/>
      <c r="E421" s="31"/>
      <c r="F421" s="31"/>
      <c r="G421" s="31"/>
      <c r="H421" s="31"/>
    </row>
    <row r="422" spans="1:8" ht="12.75" customHeight="1">
      <c r="A422" s="31"/>
      <c r="B422" s="59"/>
      <c r="C422" s="31"/>
      <c r="D422" s="31"/>
      <c r="E422" s="31"/>
      <c r="F422" s="31"/>
      <c r="G422" s="31"/>
      <c r="H422" s="31"/>
    </row>
    <row r="423" spans="1:8" ht="12.75" customHeight="1">
      <c r="A423" s="31"/>
      <c r="B423" s="59"/>
      <c r="C423" s="31"/>
      <c r="D423" s="31"/>
      <c r="E423" s="31"/>
      <c r="F423" s="31"/>
      <c r="G423" s="31"/>
      <c r="H423" s="31"/>
    </row>
    <row r="424" spans="1:8" ht="12.75" customHeight="1">
      <c r="A424" s="31"/>
      <c r="B424" s="59"/>
      <c r="C424" s="31"/>
      <c r="D424" s="31"/>
      <c r="E424" s="31"/>
      <c r="F424" s="31"/>
      <c r="G424" s="31"/>
      <c r="H424" s="31"/>
    </row>
    <row r="425" spans="1:8" ht="12.75" customHeight="1">
      <c r="A425" s="31"/>
      <c r="B425" s="59"/>
      <c r="C425" s="31"/>
      <c r="D425" s="31"/>
      <c r="E425" s="31"/>
      <c r="F425" s="31"/>
      <c r="G425" s="31"/>
      <c r="H425" s="31"/>
    </row>
    <row r="426" spans="1:8" ht="12.75" customHeight="1">
      <c r="A426" s="3" t="s">
        <v>106</v>
      </c>
      <c r="B426" s="59"/>
      <c r="C426" s="31"/>
      <c r="D426" s="31"/>
      <c r="E426" s="31"/>
      <c r="F426" s="31"/>
      <c r="G426" s="31"/>
      <c r="H426" s="31"/>
    </row>
    <row r="427" spans="1:8" ht="12.75" customHeight="1">
      <c r="A427" s="31"/>
      <c r="B427" s="59"/>
      <c r="C427" s="31"/>
      <c r="D427" s="31"/>
      <c r="E427" s="31"/>
      <c r="F427" s="31"/>
      <c r="G427" s="31"/>
      <c r="H427" s="31"/>
    </row>
    <row r="428" ht="12.75" customHeight="1">
      <c r="A428" t="s">
        <v>169</v>
      </c>
    </row>
    <row r="429" ht="12.75" customHeight="1">
      <c r="A429" t="s">
        <v>170</v>
      </c>
    </row>
    <row r="430" ht="12.75" customHeight="1">
      <c r="A430" t="s">
        <v>229</v>
      </c>
    </row>
    <row r="431" ht="12.75" customHeight="1"/>
    <row r="432" ht="12.75" customHeight="1">
      <c r="A432" t="s">
        <v>171</v>
      </c>
    </row>
    <row r="433" ht="12.75" customHeight="1">
      <c r="A433" t="s">
        <v>172</v>
      </c>
    </row>
    <row r="434" ht="12.75" customHeight="1">
      <c r="A434" t="s">
        <v>173</v>
      </c>
    </row>
    <row r="435" ht="12.75" customHeight="1">
      <c r="A435" t="s">
        <v>174</v>
      </c>
    </row>
    <row r="436" ht="12.75" customHeight="1"/>
    <row r="437" spans="2:11" ht="12.75" customHeight="1">
      <c r="B437" s="222" t="s">
        <v>183</v>
      </c>
      <c r="C437" s="223"/>
      <c r="D437" s="223"/>
      <c r="E437" s="223"/>
      <c r="F437" s="223"/>
      <c r="G437" s="223"/>
      <c r="H437" s="223"/>
      <c r="I437" s="223"/>
      <c r="J437" s="223"/>
      <c r="K437" s="223"/>
    </row>
    <row r="438" spans="2:11" ht="12.75" customHeight="1">
      <c r="B438" s="222" t="s">
        <v>184</v>
      </c>
      <c r="C438" s="223"/>
      <c r="D438" s="223"/>
      <c r="E438" s="223"/>
      <c r="F438" s="223"/>
      <c r="G438" s="223"/>
      <c r="H438" s="223"/>
      <c r="I438" s="223"/>
      <c r="J438" s="223"/>
      <c r="K438" s="223"/>
    </row>
    <row r="439" ht="12.75" customHeight="1"/>
    <row r="440" ht="12.75" customHeight="1">
      <c r="A440" t="s">
        <v>181</v>
      </c>
    </row>
    <row r="441" ht="12.75" customHeight="1">
      <c r="A441" t="s">
        <v>190</v>
      </c>
    </row>
    <row r="442" ht="12.75" customHeight="1"/>
    <row r="443" spans="2:11" ht="12.75" customHeight="1">
      <c r="B443" s="222" t="s">
        <v>182</v>
      </c>
      <c r="C443" s="223"/>
      <c r="D443" s="223"/>
      <c r="E443" s="223"/>
      <c r="F443" s="223"/>
      <c r="G443" s="223"/>
      <c r="H443" s="223"/>
      <c r="I443" s="223"/>
      <c r="J443" s="223"/>
      <c r="K443" s="223"/>
    </row>
    <row r="444" ht="12.75" customHeight="1">
      <c r="B444" t="s">
        <v>185</v>
      </c>
    </row>
    <row r="445" spans="1:8" ht="12.75" customHeight="1">
      <c r="A445" s="31"/>
      <c r="B445" s="59"/>
      <c r="C445" s="31"/>
      <c r="D445" s="31"/>
      <c r="E445" s="31"/>
      <c r="F445" s="31"/>
      <c r="G445" s="31"/>
      <c r="H445" s="31"/>
    </row>
    <row r="446" spans="1:8" ht="12.75" customHeight="1">
      <c r="A446" t="s">
        <v>282</v>
      </c>
      <c r="B446" s="59"/>
      <c r="C446" s="31"/>
      <c r="D446" s="31"/>
      <c r="E446" s="31"/>
      <c r="F446" s="31"/>
      <c r="G446" s="31"/>
      <c r="H446" s="31"/>
    </row>
    <row r="447" spans="1:8" ht="12.75" customHeight="1">
      <c r="A447" t="s">
        <v>175</v>
      </c>
      <c r="B447" s="59"/>
      <c r="C447" s="31"/>
      <c r="D447" s="31"/>
      <c r="E447" s="31"/>
      <c r="F447" s="31"/>
      <c r="G447" s="31"/>
      <c r="H447" s="31"/>
    </row>
    <row r="448" spans="2:8" ht="12.75" customHeight="1">
      <c r="B448" s="59"/>
      <c r="C448" s="31"/>
      <c r="D448" s="31"/>
      <c r="E448" s="31"/>
      <c r="F448" s="31"/>
      <c r="G448" s="31"/>
      <c r="H448" s="31"/>
    </row>
    <row r="449" spans="2:8" ht="12.75" customHeight="1">
      <c r="B449" s="59"/>
      <c r="C449" s="31"/>
      <c r="D449" s="31"/>
      <c r="E449" s="31"/>
      <c r="F449" s="31"/>
      <c r="G449" s="31"/>
      <c r="H449" s="31"/>
    </row>
    <row r="450" spans="1:8" ht="12.75" customHeight="1">
      <c r="A450" s="10" t="s">
        <v>176</v>
      </c>
      <c r="B450" s="59"/>
      <c r="C450" s="31"/>
      <c r="D450" s="31"/>
      <c r="E450" s="31"/>
      <c r="F450" s="31"/>
      <c r="G450" s="31"/>
      <c r="H450" s="31"/>
    </row>
    <row r="451" spans="1:8" ht="12.75" customHeight="1" thickBot="1">
      <c r="A451" s="31" t="s">
        <v>177</v>
      </c>
      <c r="B451" s="59"/>
      <c r="C451" s="31"/>
      <c r="D451" s="31"/>
      <c r="E451" s="31"/>
      <c r="F451" s="31"/>
      <c r="G451" s="31"/>
      <c r="H451" s="31"/>
    </row>
    <row r="452" spans="1:8" ht="12.75" customHeight="1" thickBot="1">
      <c r="A452" s="65" t="s">
        <v>297</v>
      </c>
      <c r="B452" s="66"/>
      <c r="C452" s="66"/>
      <c r="D452" s="150" t="s">
        <v>681</v>
      </c>
      <c r="E452" s="150" t="s">
        <v>682</v>
      </c>
      <c r="F452" s="67" t="s">
        <v>684</v>
      </c>
      <c r="G452" s="60" t="s">
        <v>683</v>
      </c>
      <c r="H452" s="31"/>
    </row>
    <row r="453" spans="1:8" ht="12.75" customHeight="1">
      <c r="A453" s="61" t="s">
        <v>672</v>
      </c>
      <c r="B453" s="62"/>
      <c r="C453" s="62"/>
      <c r="D453" s="102">
        <v>7909666</v>
      </c>
      <c r="E453" s="102">
        <v>7909666</v>
      </c>
      <c r="F453" s="102">
        <v>7909666</v>
      </c>
      <c r="G453" s="107">
        <f>SUM(D453:F453)</f>
        <v>23728998</v>
      </c>
      <c r="H453" s="31"/>
    </row>
    <row r="454" spans="1:8" ht="12.75" customHeight="1">
      <c r="A454" s="63" t="s">
        <v>244</v>
      </c>
      <c r="B454" s="64"/>
      <c r="C454" s="63"/>
      <c r="D454" s="103">
        <v>16942276.439911563</v>
      </c>
      <c r="E454" s="103">
        <v>-28006550.164251726</v>
      </c>
      <c r="F454" s="103">
        <v>-32256677.596480906</v>
      </c>
      <c r="G454" s="107">
        <f>SUM(D454:F454)</f>
        <v>-43320951.32082107</v>
      </c>
      <c r="H454" s="31"/>
    </row>
    <row r="455" spans="1:8" ht="12.75" customHeight="1" thickBot="1">
      <c r="A455" s="31" t="s">
        <v>679</v>
      </c>
      <c r="B455" s="59"/>
      <c r="C455" s="31"/>
      <c r="D455" s="177">
        <v>-2401233.33333333</v>
      </c>
      <c r="E455" s="177">
        <v>-2348535.99726476</v>
      </c>
      <c r="F455" s="177">
        <v>-2295334.52334779</v>
      </c>
      <c r="G455" s="107">
        <f>SUM(D455:F455)</f>
        <v>-7045103.853945879</v>
      </c>
      <c r="H455" s="31"/>
    </row>
    <row r="456" spans="2:8" ht="12.75" customHeight="1">
      <c r="B456" s="59"/>
      <c r="C456" s="31"/>
      <c r="D456" s="31"/>
      <c r="E456" s="31"/>
      <c r="F456" s="31"/>
      <c r="G456" s="31"/>
      <c r="H456" s="31"/>
    </row>
    <row r="457" spans="2:8" ht="12.75" customHeight="1">
      <c r="B457" s="59"/>
      <c r="C457" s="31"/>
      <c r="D457" s="31"/>
      <c r="E457" s="31"/>
      <c r="F457" s="31"/>
      <c r="G457" s="31"/>
      <c r="H457" s="31"/>
    </row>
    <row r="458" spans="2:8" ht="12.75" customHeight="1">
      <c r="B458" s="59"/>
      <c r="C458" s="31"/>
      <c r="D458" s="31"/>
      <c r="E458" s="31"/>
      <c r="F458" s="31"/>
      <c r="G458" s="31"/>
      <c r="H458" s="31"/>
    </row>
    <row r="459" spans="2:8" ht="12.75" customHeight="1">
      <c r="B459" s="59"/>
      <c r="C459" s="31"/>
      <c r="D459" s="31"/>
      <c r="E459" s="31"/>
      <c r="F459" s="31"/>
      <c r="G459" s="31"/>
      <c r="H459" s="31"/>
    </row>
    <row r="460" spans="2:8" ht="12.75" customHeight="1">
      <c r="B460" s="59"/>
      <c r="C460" s="31"/>
      <c r="D460" s="31"/>
      <c r="E460" s="31"/>
      <c r="F460" s="31"/>
      <c r="G460" s="31"/>
      <c r="H460" s="31"/>
    </row>
    <row r="461" spans="2:8" ht="12.75" customHeight="1">
      <c r="B461" s="59"/>
      <c r="C461" s="31"/>
      <c r="D461" s="31"/>
      <c r="E461" s="31"/>
      <c r="F461" s="31"/>
      <c r="G461" s="31"/>
      <c r="H461" s="31"/>
    </row>
    <row r="462" spans="2:8" ht="12.75" customHeight="1">
      <c r="B462" s="59"/>
      <c r="C462" s="31"/>
      <c r="D462" s="31"/>
      <c r="E462" s="31"/>
      <c r="F462" s="31"/>
      <c r="G462" s="31"/>
      <c r="H462" s="31"/>
    </row>
    <row r="463" spans="2:8" ht="12.75" customHeight="1">
      <c r="B463" s="59"/>
      <c r="C463" s="31"/>
      <c r="D463" s="31"/>
      <c r="E463" s="31"/>
      <c r="F463" s="31"/>
      <c r="G463" s="31"/>
      <c r="H463" s="31"/>
    </row>
    <row r="464" spans="2:8" ht="12.75" customHeight="1">
      <c r="B464" s="59"/>
      <c r="C464" s="31"/>
      <c r="D464" s="31"/>
      <c r="E464" s="31"/>
      <c r="F464" s="31"/>
      <c r="G464" s="31"/>
      <c r="H464" s="31"/>
    </row>
    <row r="465" spans="2:8" ht="12.75" customHeight="1">
      <c r="B465" s="59"/>
      <c r="C465" s="31"/>
      <c r="D465" s="31"/>
      <c r="E465" s="31"/>
      <c r="F465" s="31"/>
      <c r="G465" s="31"/>
      <c r="H465" s="31"/>
    </row>
    <row r="466" spans="2:8" ht="12.75" customHeight="1">
      <c r="B466" s="59"/>
      <c r="C466" s="31"/>
      <c r="D466" s="31"/>
      <c r="E466" s="31"/>
      <c r="F466" s="31"/>
      <c r="G466" s="31"/>
      <c r="H466" s="31"/>
    </row>
    <row r="467" spans="1:8" ht="12.75" customHeight="1">
      <c r="A467" s="31"/>
      <c r="B467" s="59"/>
      <c r="C467" s="31"/>
      <c r="D467" s="31"/>
      <c r="E467" s="31"/>
      <c r="F467" s="31"/>
      <c r="G467" s="31"/>
      <c r="H467" s="31"/>
    </row>
    <row r="473" spans="1:8" ht="12.75" customHeight="1" thickBot="1">
      <c r="A473" s="31" t="s">
        <v>180</v>
      </c>
      <c r="B473" s="59"/>
      <c r="C473" s="31"/>
      <c r="D473" s="31"/>
      <c r="E473" s="31"/>
      <c r="F473" s="31"/>
      <c r="G473" s="31"/>
      <c r="H473" s="31"/>
    </row>
    <row r="474" spans="1:8" ht="12.75" customHeight="1" thickBot="1">
      <c r="A474" s="65" t="s">
        <v>297</v>
      </c>
      <c r="B474" s="66"/>
      <c r="C474" s="66"/>
      <c r="D474" s="150" t="s">
        <v>681</v>
      </c>
      <c r="E474" s="150" t="s">
        <v>682</v>
      </c>
      <c r="F474" s="67" t="s">
        <v>684</v>
      </c>
      <c r="G474" s="60" t="s">
        <v>683</v>
      </c>
      <c r="H474" s="31"/>
    </row>
    <row r="475" spans="1:8" ht="12.75" customHeight="1">
      <c r="A475" s="61" t="s">
        <v>672</v>
      </c>
      <c r="B475" s="62"/>
      <c r="C475" s="62"/>
      <c r="D475" s="102">
        <v>8000000</v>
      </c>
      <c r="E475" s="102">
        <v>8000000</v>
      </c>
      <c r="F475" s="102">
        <v>8000000</v>
      </c>
      <c r="G475" s="107">
        <f>SUM(D475:F475)</f>
        <v>24000000</v>
      </c>
      <c r="H475" s="31"/>
    </row>
    <row r="476" spans="1:8" ht="12.75" customHeight="1">
      <c r="A476" s="63" t="s">
        <v>244</v>
      </c>
      <c r="B476" s="64"/>
      <c r="C476" s="63"/>
      <c r="D476" s="103">
        <v>16942276.439911563</v>
      </c>
      <c r="E476" s="103">
        <v>-28006550.164251726</v>
      </c>
      <c r="F476" s="103">
        <v>-32256677.596480906</v>
      </c>
      <c r="G476" s="107">
        <f>SUM(D476:F476)</f>
        <v>-43320951.32082107</v>
      </c>
      <c r="H476" s="31"/>
    </row>
    <row r="477" spans="1:8" ht="12.75" customHeight="1" thickBot="1">
      <c r="A477" s="31" t="s">
        <v>679</v>
      </c>
      <c r="B477" s="59"/>
      <c r="C477" s="31"/>
      <c r="D477" s="177">
        <f>D455-90344</f>
        <v>-2491577.33333333</v>
      </c>
      <c r="E477" s="177">
        <f>E455-90344</f>
        <v>-2438879.99726476</v>
      </c>
      <c r="F477" s="177">
        <f>F455-90344</f>
        <v>-2385678.52334779</v>
      </c>
      <c r="G477" s="107">
        <f>SUM(D477:F477)</f>
        <v>-7316135.853945879</v>
      </c>
      <c r="H477" s="31"/>
    </row>
    <row r="492" spans="2:9" ht="12.75" customHeight="1">
      <c r="B492" s="59"/>
      <c r="C492" s="31"/>
      <c r="D492" s="31"/>
      <c r="E492" s="31"/>
      <c r="F492" s="31"/>
      <c r="G492" s="151"/>
      <c r="H492" s="151"/>
      <c r="I492" s="11"/>
    </row>
    <row r="493" spans="2:7" ht="12.75" customHeight="1">
      <c r="B493" s="10"/>
      <c r="C493" s="10"/>
      <c r="D493" s="10"/>
      <c r="E493" s="10"/>
      <c r="F493" s="10"/>
      <c r="G493" s="10"/>
    </row>
    <row r="494" spans="2:7" ht="12.75" customHeight="1">
      <c r="B494" s="10"/>
      <c r="C494" s="10"/>
      <c r="D494" s="10"/>
      <c r="E494" s="10"/>
      <c r="F494" s="10"/>
      <c r="G494" s="10"/>
    </row>
    <row r="495" spans="1:7" ht="12.75" customHeight="1">
      <c r="A495" s="31" t="s">
        <v>369</v>
      </c>
      <c r="B495" s="10"/>
      <c r="C495" s="10"/>
      <c r="D495" s="10"/>
      <c r="E495" s="10"/>
      <c r="F495" s="10"/>
      <c r="G495" s="10"/>
    </row>
    <row r="496" ht="12.75">
      <c r="A496" s="10" t="s">
        <v>370</v>
      </c>
    </row>
    <row r="497" ht="12.75">
      <c r="A497" s="10" t="s">
        <v>647</v>
      </c>
    </row>
    <row r="498" ht="12.75">
      <c r="A498" s="10" t="s">
        <v>603</v>
      </c>
    </row>
    <row r="499" ht="12.75">
      <c r="A499" s="10" t="s">
        <v>604</v>
      </c>
    </row>
    <row r="500" ht="12.75">
      <c r="A500" s="10"/>
    </row>
    <row r="501" spans="1:8" ht="12.75" customHeight="1" thickBot="1">
      <c r="A501" s="31" t="s">
        <v>189</v>
      </c>
      <c r="B501" s="59"/>
      <c r="C501" s="31"/>
      <c r="D501" s="31"/>
      <c r="E501" s="31"/>
      <c r="F501" s="31"/>
      <c r="G501" s="31"/>
      <c r="H501" s="31"/>
    </row>
    <row r="502" spans="1:8" ht="12.75" customHeight="1" thickBot="1">
      <c r="A502" s="65" t="s">
        <v>188</v>
      </c>
      <c r="B502" s="66"/>
      <c r="C502" s="66"/>
      <c r="D502" s="150" t="s">
        <v>681</v>
      </c>
      <c r="E502" s="150" t="s">
        <v>682</v>
      </c>
      <c r="F502" s="67" t="s">
        <v>684</v>
      </c>
      <c r="G502" s="60" t="s">
        <v>683</v>
      </c>
      <c r="H502" s="31"/>
    </row>
    <row r="503" spans="1:8" ht="12.75" customHeight="1">
      <c r="A503" s="53" t="s">
        <v>186</v>
      </c>
      <c r="B503" s="60"/>
      <c r="C503" s="60"/>
      <c r="D503" s="178">
        <f>D455</f>
        <v>-2401233.33333333</v>
      </c>
      <c r="E503" s="178">
        <f>E455</f>
        <v>-2348535.99726476</v>
      </c>
      <c r="F503" s="178">
        <f>F455</f>
        <v>-2295334.52334779</v>
      </c>
      <c r="G503" s="107">
        <f>SUM(D503:F503)</f>
        <v>-7045103.853945879</v>
      </c>
      <c r="H503" s="31"/>
    </row>
    <row r="504" spans="1:8" ht="12.75" customHeight="1" thickBot="1">
      <c r="A504" s="53" t="s">
        <v>187</v>
      </c>
      <c r="B504" s="56"/>
      <c r="C504" s="53"/>
      <c r="D504" s="104">
        <f>-(G347-5508432)</f>
        <v>-1891568</v>
      </c>
      <c r="E504" s="179">
        <f>-(G368-5561130-90334)</f>
        <v>-2748536</v>
      </c>
      <c r="F504" s="104">
        <f>-(G389-5614331-90334)</f>
        <v>-3895335</v>
      </c>
      <c r="G504" s="107">
        <f>SUM(D504:F504)</f>
        <v>-8535439</v>
      </c>
      <c r="H504" s="31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23" spans="1:7" ht="13.5" thickBot="1">
      <c r="A523" s="31" t="s">
        <v>281</v>
      </c>
      <c r="B523" s="59"/>
      <c r="C523" s="31"/>
      <c r="D523" s="31"/>
      <c r="E523" s="31"/>
      <c r="F523" s="31"/>
      <c r="G523" s="31"/>
    </row>
    <row r="524" spans="1:7" ht="13.5" thickBot="1">
      <c r="A524" s="65" t="s">
        <v>188</v>
      </c>
      <c r="B524" s="66"/>
      <c r="C524" s="66"/>
      <c r="D524" s="150" t="s">
        <v>681</v>
      </c>
      <c r="E524" s="150" t="s">
        <v>682</v>
      </c>
      <c r="F524" s="67" t="s">
        <v>684</v>
      </c>
      <c r="G524" s="60" t="s">
        <v>683</v>
      </c>
    </row>
    <row r="525" spans="1:7" ht="12.75">
      <c r="A525" s="53" t="s">
        <v>186</v>
      </c>
      <c r="B525" s="60"/>
      <c r="C525" s="60"/>
      <c r="D525" s="178">
        <f>D477</f>
        <v>-2491577.33333333</v>
      </c>
      <c r="E525" s="178">
        <f>E477</f>
        <v>-2438879.99726476</v>
      </c>
      <c r="F525" s="178">
        <f>F477</f>
        <v>-2385678.52334779</v>
      </c>
      <c r="G525" s="107">
        <f>SUM(D525:F525)</f>
        <v>-7316135.853945879</v>
      </c>
    </row>
    <row r="526" spans="1:7" ht="13.5" thickBot="1">
      <c r="A526" s="53" t="s">
        <v>187</v>
      </c>
      <c r="B526" s="56"/>
      <c r="C526" s="53"/>
      <c r="D526" s="104">
        <f>-(G347-5508432)</f>
        <v>-1891568</v>
      </c>
      <c r="E526" s="179">
        <f>-(G368-5561130)</f>
        <v>-2838870</v>
      </c>
      <c r="F526" s="104">
        <f>-(G389-5614331)</f>
        <v>-3985669</v>
      </c>
      <c r="G526" s="107">
        <f>SUM(D526:F526)</f>
        <v>-8716107</v>
      </c>
    </row>
    <row r="545" ht="12.75">
      <c r="A545" s="10" t="s">
        <v>123</v>
      </c>
    </row>
    <row r="546" ht="12.75">
      <c r="A546" s="10" t="s">
        <v>124</v>
      </c>
    </row>
    <row r="547" ht="12.75">
      <c r="A547" s="10" t="s">
        <v>150</v>
      </c>
    </row>
    <row r="550" ht="15.75">
      <c r="A550" s="3" t="s">
        <v>107</v>
      </c>
    </row>
    <row r="551" spans="1:10" ht="12.75">
      <c r="A551" s="222" t="s">
        <v>662</v>
      </c>
      <c r="B551" s="223"/>
      <c r="C551" s="223"/>
      <c r="D551" s="223"/>
      <c r="E551" s="223"/>
      <c r="F551" s="223"/>
      <c r="G551" s="223"/>
      <c r="H551" s="223"/>
      <c r="I551" s="223"/>
      <c r="J551" s="223"/>
    </row>
    <row r="552" spans="1:9" ht="25.5" customHeight="1">
      <c r="A552" s="222" t="s">
        <v>509</v>
      </c>
      <c r="B552" s="223"/>
      <c r="C552" s="223"/>
      <c r="D552" s="223"/>
      <c r="E552" s="223"/>
      <c r="F552" s="223"/>
      <c r="G552" s="223"/>
      <c r="H552" s="223"/>
      <c r="I552" s="223"/>
    </row>
    <row r="553" ht="12.75">
      <c r="A553" t="s">
        <v>511</v>
      </c>
    </row>
    <row r="554" ht="12.75">
      <c r="A554" t="s">
        <v>510</v>
      </c>
    </row>
    <row r="555" ht="12.75">
      <c r="A555" t="s">
        <v>257</v>
      </c>
    </row>
    <row r="556" ht="12.75">
      <c r="A556" t="s">
        <v>649</v>
      </c>
    </row>
    <row r="557" ht="12.75">
      <c r="A557" t="s">
        <v>258</v>
      </c>
    </row>
    <row r="558" ht="12.75">
      <c r="A558" t="s">
        <v>665</v>
      </c>
    </row>
    <row r="559" ht="12.75">
      <c r="A559" t="s">
        <v>259</v>
      </c>
    </row>
    <row r="560" ht="12.75">
      <c r="A560" t="s">
        <v>650</v>
      </c>
    </row>
    <row r="561" ht="12.75">
      <c r="A561" t="s">
        <v>43</v>
      </c>
    </row>
    <row r="562" ht="12.75">
      <c r="A562" t="s">
        <v>260</v>
      </c>
    </row>
    <row r="564" spans="1:10" ht="12.75">
      <c r="A564" s="222" t="s">
        <v>651</v>
      </c>
      <c r="B564" s="223"/>
      <c r="C564" s="223"/>
      <c r="D564" s="223"/>
      <c r="E564" s="223"/>
      <c r="F564" s="223"/>
      <c r="G564" s="223"/>
      <c r="H564" s="223"/>
      <c r="I564" s="223"/>
      <c r="J564" s="223"/>
    </row>
    <row r="565" ht="12.75">
      <c r="A565" s="1"/>
    </row>
    <row r="566" spans="1:2" ht="12.75">
      <c r="A566" s="1"/>
      <c r="B566" t="s">
        <v>44</v>
      </c>
    </row>
    <row r="567" ht="12.75">
      <c r="A567" s="1"/>
    </row>
    <row r="568" ht="12.75">
      <c r="B568" t="s">
        <v>220</v>
      </c>
    </row>
    <row r="569" ht="12.75">
      <c r="A569" s="8"/>
    </row>
    <row r="570" ht="12.75">
      <c r="B570" t="s">
        <v>49</v>
      </c>
    </row>
    <row r="571" spans="1:3" ht="12.75">
      <c r="A571" s="8"/>
      <c r="C571" t="s">
        <v>45</v>
      </c>
    </row>
    <row r="572" spans="1:3" ht="12.75">
      <c r="A572" s="8"/>
      <c r="C572" t="s">
        <v>46</v>
      </c>
    </row>
    <row r="573" ht="12.75">
      <c r="A573" s="8"/>
    </row>
    <row r="574" ht="12.75">
      <c r="B574" t="s">
        <v>261</v>
      </c>
    </row>
    <row r="575" spans="1:3" ht="12.75">
      <c r="A575" s="8"/>
      <c r="C575" t="s">
        <v>47</v>
      </c>
    </row>
    <row r="576" spans="1:3" ht="12.75">
      <c r="A576" s="8"/>
      <c r="C576" t="s">
        <v>48</v>
      </c>
    </row>
    <row r="577" ht="12.75">
      <c r="A577" s="8"/>
    </row>
    <row r="578" ht="12.75">
      <c r="B578" t="s">
        <v>262</v>
      </c>
    </row>
    <row r="579" spans="1:3" ht="12.75">
      <c r="A579" s="8"/>
      <c r="C579" t="s">
        <v>263</v>
      </c>
    </row>
    <row r="580" ht="12.75">
      <c r="A580" s="8"/>
    </row>
    <row r="581" ht="12.75">
      <c r="B581" t="s">
        <v>605</v>
      </c>
    </row>
    <row r="583" ht="12.75">
      <c r="A583" t="s">
        <v>606</v>
      </c>
    </row>
    <row r="584" ht="12.75">
      <c r="A584" t="s">
        <v>264</v>
      </c>
    </row>
    <row r="585" ht="12.75">
      <c r="A585" t="s">
        <v>466</v>
      </c>
    </row>
    <row r="586" ht="12.75">
      <c r="A586" t="s">
        <v>467</v>
      </c>
    </row>
    <row r="587" ht="12.75">
      <c r="A587" t="s">
        <v>468</v>
      </c>
    </row>
    <row r="588" ht="12.75">
      <c r="A588" s="6" t="s">
        <v>9</v>
      </c>
    </row>
    <row r="589" ht="12.75">
      <c r="A589" s="6" t="s">
        <v>10</v>
      </c>
    </row>
    <row r="590" ht="12.75">
      <c r="A590" s="6"/>
    </row>
    <row r="591" ht="12.75">
      <c r="A591" s="2" t="s">
        <v>546</v>
      </c>
    </row>
    <row r="592" spans="3:8" ht="12.75">
      <c r="C592" s="129" t="s">
        <v>215</v>
      </c>
      <c r="D592" s="13"/>
      <c r="E592" s="13"/>
      <c r="F592" s="14"/>
      <c r="G592" s="14"/>
      <c r="H592" s="13"/>
    </row>
    <row r="593" spans="3:9" ht="12.75">
      <c r="C593" s="130"/>
      <c r="D593" s="131" t="s">
        <v>324</v>
      </c>
      <c r="E593" s="131" t="s">
        <v>325</v>
      </c>
      <c r="F593" s="132" t="s">
        <v>326</v>
      </c>
      <c r="G593" s="132" t="s">
        <v>456</v>
      </c>
      <c r="H593" s="131" t="s">
        <v>327</v>
      </c>
      <c r="I593" s="131" t="s">
        <v>328</v>
      </c>
    </row>
    <row r="594" spans="3:9" ht="12.75">
      <c r="C594" s="133"/>
      <c r="D594" s="134" t="s">
        <v>327</v>
      </c>
      <c r="E594" s="134" t="s">
        <v>329</v>
      </c>
      <c r="F594" s="135" t="s">
        <v>330</v>
      </c>
      <c r="G594" s="135" t="s">
        <v>457</v>
      </c>
      <c r="H594" s="134" t="s">
        <v>325</v>
      </c>
      <c r="I594" s="134" t="s">
        <v>325</v>
      </c>
    </row>
    <row r="595" spans="3:9" ht="12.75">
      <c r="C595" s="136" t="s">
        <v>331</v>
      </c>
      <c r="D595" s="137" t="s">
        <v>332</v>
      </c>
      <c r="E595" s="138" t="s">
        <v>330</v>
      </c>
      <c r="F595" s="136" t="s">
        <v>450</v>
      </c>
      <c r="G595" s="136" t="s">
        <v>668</v>
      </c>
      <c r="H595" s="137" t="s">
        <v>373</v>
      </c>
      <c r="I595" s="137" t="s">
        <v>451</v>
      </c>
    </row>
    <row r="596" spans="3:9" ht="12.75">
      <c r="C596" s="157">
        <v>0</v>
      </c>
      <c r="D596" s="141" t="s">
        <v>215</v>
      </c>
      <c r="E596" s="141" t="s">
        <v>215</v>
      </c>
      <c r="F596" s="141" t="s">
        <v>215</v>
      </c>
      <c r="G596" s="157" t="s">
        <v>452</v>
      </c>
      <c r="H596" s="158" t="s">
        <v>215</v>
      </c>
      <c r="I596" s="159">
        <v>0</v>
      </c>
    </row>
    <row r="597" spans="3:9" ht="12.75">
      <c r="C597" s="142">
        <f aca="true" t="shared" si="0" ref="C597:I599">C321</f>
        <v>1</v>
      </c>
      <c r="D597" s="143">
        <f t="shared" si="0"/>
        <v>1850</v>
      </c>
      <c r="E597" s="143">
        <f t="shared" si="0"/>
        <v>2000</v>
      </c>
      <c r="F597" s="143">
        <f t="shared" si="0"/>
        <v>150</v>
      </c>
      <c r="G597" s="143" t="str">
        <f t="shared" si="0"/>
        <v>01/31/x1</v>
      </c>
      <c r="H597" s="143">
        <f t="shared" si="0"/>
        <v>600000</v>
      </c>
      <c r="I597" s="143">
        <f t="shared" si="0"/>
        <v>16942276.439911563</v>
      </c>
    </row>
    <row r="598" spans="3:9" ht="12.75">
      <c r="C598" s="148">
        <f t="shared" si="0"/>
        <v>2</v>
      </c>
      <c r="D598" s="149">
        <f t="shared" si="0"/>
        <v>2100</v>
      </c>
      <c r="E598" s="149">
        <f t="shared" si="0"/>
        <v>2000</v>
      </c>
      <c r="F598" s="149">
        <f t="shared" si="0"/>
        <v>-100</v>
      </c>
      <c r="G598" s="149" t="str">
        <f t="shared" si="0"/>
        <v>02/28/x1</v>
      </c>
      <c r="H598" s="149">
        <f t="shared" si="0"/>
        <v>-400000</v>
      </c>
      <c r="I598" s="149">
        <f t="shared" si="0"/>
        <v>-11064273.724340163</v>
      </c>
    </row>
    <row r="599" spans="3:9" ht="12.75" customHeight="1">
      <c r="C599" s="160">
        <f t="shared" si="0"/>
        <v>3</v>
      </c>
      <c r="D599" s="161">
        <f t="shared" si="0"/>
        <v>2400</v>
      </c>
      <c r="E599" s="161">
        <f t="shared" si="0"/>
        <v>2000</v>
      </c>
      <c r="F599" s="161">
        <f t="shared" si="0"/>
        <v>-400</v>
      </c>
      <c r="G599" s="161" t="str">
        <f t="shared" si="0"/>
        <v>03/31/x1</v>
      </c>
      <c r="H599" s="161">
        <f t="shared" si="0"/>
        <v>-1600000</v>
      </c>
      <c r="I599" s="161">
        <f t="shared" si="0"/>
        <v>-43320951.32082107</v>
      </c>
    </row>
    <row r="601" ht="12.75" customHeight="1">
      <c r="A601" t="s">
        <v>293</v>
      </c>
    </row>
    <row r="602" ht="12.75" customHeight="1"/>
    <row r="603" spans="3:5" ht="12.75" customHeight="1">
      <c r="C603" s="41" t="s">
        <v>672</v>
      </c>
      <c r="D603" s="42"/>
      <c r="E603" s="42"/>
    </row>
    <row r="604" spans="3:5" ht="12.75" customHeight="1">
      <c r="C604" s="41" t="s">
        <v>673</v>
      </c>
      <c r="D604" s="42"/>
      <c r="E604" s="42"/>
    </row>
    <row r="605" spans="3:5" ht="12.75" customHeight="1">
      <c r="C605" s="2" t="s">
        <v>271</v>
      </c>
      <c r="D605" s="43"/>
      <c r="E605" s="41"/>
    </row>
    <row r="606" spans="3:5" ht="12.75" customHeight="1">
      <c r="C606" s="41" t="s">
        <v>664</v>
      </c>
      <c r="D606" s="43"/>
      <c r="E606" s="41"/>
    </row>
    <row r="607" spans="3:5" ht="12.75" customHeight="1">
      <c r="C607" s="2" t="s">
        <v>663</v>
      </c>
      <c r="D607" s="44"/>
      <c r="E607" s="44"/>
    </row>
    <row r="608" spans="3:5" ht="12.75" customHeight="1">
      <c r="C608" s="41" t="s">
        <v>461</v>
      </c>
      <c r="D608" s="44"/>
      <c r="E608" s="44"/>
    </row>
    <row r="609" spans="3:5" ht="12.75" customHeight="1">
      <c r="C609" s="41"/>
      <c r="D609" s="44" t="s">
        <v>209</v>
      </c>
      <c r="E609" s="44"/>
    </row>
    <row r="610" spans="3:5" ht="12.75" customHeight="1">
      <c r="C610" s="41"/>
      <c r="D610" s="44" t="s">
        <v>210</v>
      </c>
      <c r="E610" s="44"/>
    </row>
    <row r="611" spans="3:5" ht="12.75" customHeight="1">
      <c r="C611" s="45" t="s">
        <v>678</v>
      </c>
      <c r="D611" s="44"/>
      <c r="E611" s="44"/>
    </row>
    <row r="612" spans="3:5" ht="12.75" customHeight="1">
      <c r="C612" s="45"/>
      <c r="D612" s="44"/>
      <c r="E612" s="44"/>
    </row>
    <row r="613" spans="2:5" ht="12.75" customHeight="1">
      <c r="B613" s="2" t="s">
        <v>363</v>
      </c>
      <c r="C613" s="45"/>
      <c r="D613" s="44"/>
      <c r="E613" s="44"/>
    </row>
    <row r="614" spans="2:5" ht="12.75" customHeight="1">
      <c r="B614" t="s">
        <v>360</v>
      </c>
      <c r="C614" s="45"/>
      <c r="D614" s="44"/>
      <c r="E614" s="44"/>
    </row>
    <row r="615" spans="2:5" ht="12.75" customHeight="1">
      <c r="B615" t="s">
        <v>608</v>
      </c>
      <c r="C615" s="45"/>
      <c r="D615" s="44"/>
      <c r="E615" s="44"/>
    </row>
    <row r="616" spans="2:5" ht="12.75" customHeight="1">
      <c r="B616" t="s">
        <v>361</v>
      </c>
      <c r="C616" s="45"/>
      <c r="D616" s="44"/>
      <c r="E616" s="44"/>
    </row>
    <row r="617" spans="2:5" ht="12.75" customHeight="1">
      <c r="B617" t="s">
        <v>362</v>
      </c>
      <c r="C617" s="45"/>
      <c r="D617" s="44"/>
      <c r="E617" s="44"/>
    </row>
    <row r="618" spans="3:5" ht="12.75" customHeight="1">
      <c r="C618" s="45"/>
      <c r="D618" s="44"/>
      <c r="E618" s="44"/>
    </row>
    <row r="619" spans="3:5" ht="12.75" customHeight="1">
      <c r="C619" s="45"/>
      <c r="D619" s="44"/>
      <c r="E619" s="44"/>
    </row>
    <row r="620" ht="12.75">
      <c r="A620" s="10" t="s">
        <v>309</v>
      </c>
    </row>
    <row r="622" ht="12.75">
      <c r="A622" s="95" t="s">
        <v>607</v>
      </c>
    </row>
    <row r="623" ht="13.5" thickBot="1">
      <c r="C623" s="128"/>
    </row>
    <row r="624" spans="1:8" ht="12.75" customHeight="1" thickTop="1">
      <c r="A624" s="96" t="s">
        <v>668</v>
      </c>
      <c r="B624" s="19" t="s">
        <v>215</v>
      </c>
      <c r="C624" s="127" t="s">
        <v>574</v>
      </c>
      <c r="D624" s="19"/>
      <c r="E624" s="19"/>
      <c r="F624" s="20"/>
      <c r="G624" s="25"/>
      <c r="H624" s="39"/>
    </row>
    <row r="625" spans="1:9" ht="12.75" customHeight="1" thickBot="1">
      <c r="A625" s="40" t="s">
        <v>671</v>
      </c>
      <c r="C625" s="10" t="s">
        <v>573</v>
      </c>
      <c r="D625" s="16"/>
      <c r="E625" s="16"/>
      <c r="F625" s="17"/>
      <c r="G625" s="28" t="s">
        <v>669</v>
      </c>
      <c r="H625" s="99" t="s">
        <v>670</v>
      </c>
      <c r="I625" s="11" t="s">
        <v>683</v>
      </c>
    </row>
    <row r="626" spans="1:9" ht="12.75" customHeight="1" thickTop="1">
      <c r="A626" s="37" t="s">
        <v>680</v>
      </c>
      <c r="B626" s="91" t="s">
        <v>266</v>
      </c>
      <c r="C626" s="49"/>
      <c r="D626" s="49"/>
      <c r="E626" s="49"/>
      <c r="F626" s="50"/>
      <c r="G626" s="105">
        <v>251000000</v>
      </c>
      <c r="H626" s="105">
        <v>0</v>
      </c>
      <c r="I626" s="52">
        <f>G626-H626</f>
        <v>251000000</v>
      </c>
    </row>
    <row r="627" spans="1:9" ht="12.75" customHeight="1">
      <c r="A627" s="37"/>
      <c r="B627" s="92"/>
      <c r="C627" s="60" t="s">
        <v>672</v>
      </c>
      <c r="D627" s="60"/>
      <c r="E627" s="60"/>
      <c r="F627" s="82"/>
      <c r="G627" s="106">
        <v>0</v>
      </c>
      <c r="H627" s="106">
        <f>G626</f>
        <v>251000000</v>
      </c>
      <c r="I627" s="52">
        <f>G627-H627</f>
        <v>-251000000</v>
      </c>
    </row>
    <row r="628" spans="1:9" ht="12.75" customHeight="1">
      <c r="A628" s="37"/>
      <c r="B628" s="93" t="s">
        <v>267</v>
      </c>
      <c r="C628" s="60"/>
      <c r="D628" s="60"/>
      <c r="E628" s="60"/>
      <c r="F628" s="82"/>
      <c r="G628" s="51"/>
      <c r="H628" s="51"/>
      <c r="I628" s="52"/>
    </row>
    <row r="629" spans="1:9" ht="12.75" customHeight="1">
      <c r="A629" s="37"/>
      <c r="B629" s="93"/>
      <c r="C629" s="60"/>
      <c r="D629" s="60"/>
      <c r="E629" s="60"/>
      <c r="F629" s="82"/>
      <c r="G629" s="51"/>
      <c r="H629" s="51"/>
      <c r="I629" s="52"/>
    </row>
    <row r="630" spans="1:9" ht="12.75" customHeight="1">
      <c r="A630" s="37" t="s">
        <v>680</v>
      </c>
      <c r="B630" s="92" t="s">
        <v>672</v>
      </c>
      <c r="C630" s="60"/>
      <c r="D630" s="60"/>
      <c r="E630" s="60"/>
      <c r="F630" s="82"/>
      <c r="G630" s="51">
        <v>0</v>
      </c>
      <c r="H630" s="51">
        <v>0</v>
      </c>
      <c r="I630" s="52">
        <f>G630-H630+I627</f>
        <v>-251000000</v>
      </c>
    </row>
    <row r="631" spans="1:9" ht="12.75" customHeight="1">
      <c r="A631" s="26"/>
      <c r="B631" s="92"/>
      <c r="C631" s="53" t="s">
        <v>673</v>
      </c>
      <c r="D631" s="53"/>
      <c r="E631" s="53"/>
      <c r="F631" s="54"/>
      <c r="G631" s="51">
        <v>0</v>
      </c>
      <c r="H631" s="51">
        <v>0</v>
      </c>
      <c r="I631" s="52">
        <f>G631-H631</f>
        <v>0</v>
      </c>
    </row>
    <row r="632" spans="1:9" ht="12.75" customHeight="1">
      <c r="A632" s="26"/>
      <c r="B632" s="93" t="s">
        <v>674</v>
      </c>
      <c r="C632" s="53"/>
      <c r="D632" s="53"/>
      <c r="E632" s="53"/>
      <c r="F632" s="54"/>
      <c r="G632" s="55"/>
      <c r="H632" s="55"/>
      <c r="I632" s="52"/>
    </row>
    <row r="633" spans="1:9" ht="12.75" customHeight="1">
      <c r="A633" s="37"/>
      <c r="B633" s="92"/>
      <c r="C633" s="60"/>
      <c r="D633" s="60"/>
      <c r="E633" s="60"/>
      <c r="F633" s="82"/>
      <c r="G633" s="51"/>
      <c r="H633" s="51"/>
      <c r="I633" s="52"/>
    </row>
    <row r="634" spans="1:9" s="10" customFormat="1" ht="12.75" customHeight="1">
      <c r="A634" s="37" t="s">
        <v>681</v>
      </c>
      <c r="B634" s="92" t="s">
        <v>672</v>
      </c>
      <c r="C634" s="53"/>
      <c r="D634" s="53"/>
      <c r="E634" s="53"/>
      <c r="F634" s="54"/>
      <c r="G634" s="84">
        <f>1850*4000</f>
        <v>7400000</v>
      </c>
      <c r="H634" s="51">
        <v>0</v>
      </c>
      <c r="I634" s="52">
        <f>G634-H634+I630</f>
        <v>-243600000</v>
      </c>
    </row>
    <row r="635" spans="1:9" s="10" customFormat="1" ht="12.75" customHeight="1">
      <c r="A635" s="38"/>
      <c r="B635" s="92"/>
      <c r="C635" s="53" t="s">
        <v>268</v>
      </c>
      <c r="D635" s="53"/>
      <c r="E635" s="53"/>
      <c r="F635" s="54"/>
      <c r="G635" s="51">
        <v>0</v>
      </c>
      <c r="H635" s="85">
        <f>G634</f>
        <v>7400000</v>
      </c>
      <c r="I635" s="52">
        <f>G635-H635</f>
        <v>-7400000</v>
      </c>
    </row>
    <row r="636" spans="1:9" s="10" customFormat="1" ht="12.75" customHeight="1">
      <c r="A636" s="38"/>
      <c r="B636" s="93" t="s">
        <v>295</v>
      </c>
      <c r="C636" s="53"/>
      <c r="D636" s="53"/>
      <c r="E636" s="53"/>
      <c r="F636" s="54"/>
      <c r="G636" s="55"/>
      <c r="H636" s="55"/>
      <c r="I636" s="52"/>
    </row>
    <row r="637" spans="1:9" s="10" customFormat="1" ht="12.75" customHeight="1">
      <c r="A637" s="38"/>
      <c r="B637" s="93"/>
      <c r="C637" s="53"/>
      <c r="D637" s="53"/>
      <c r="E637" s="53"/>
      <c r="F637" s="54"/>
      <c r="G637" s="55"/>
      <c r="H637" s="55"/>
      <c r="I637" s="52"/>
    </row>
    <row r="638" spans="1:9" s="10" customFormat="1" ht="12.75" customHeight="1">
      <c r="A638" s="37" t="s">
        <v>681</v>
      </c>
      <c r="B638" s="92" t="s">
        <v>672</v>
      </c>
      <c r="C638" s="53"/>
      <c r="D638" s="53"/>
      <c r="E638" s="53"/>
      <c r="F638" s="54"/>
      <c r="G638" s="84">
        <f>(2000-1850)*(4000)</f>
        <v>600000</v>
      </c>
      <c r="H638" s="84">
        <v>0</v>
      </c>
      <c r="I638" s="52">
        <f>G638-H638+I634</f>
        <v>-243000000</v>
      </c>
    </row>
    <row r="639" spans="1:9" ht="12.75" customHeight="1">
      <c r="A639" s="26"/>
      <c r="B639" s="92"/>
      <c r="C639" s="53" t="s">
        <v>268</v>
      </c>
      <c r="D639" s="53"/>
      <c r="E639" s="53"/>
      <c r="F639" s="54"/>
      <c r="G639" s="84">
        <v>0</v>
      </c>
      <c r="H639" s="84">
        <f>G638</f>
        <v>600000</v>
      </c>
      <c r="I639" s="52">
        <f>G639-H639+I635</f>
        <v>-8000000</v>
      </c>
    </row>
    <row r="640" spans="1:9" ht="12.75" customHeight="1">
      <c r="A640" s="26"/>
      <c r="B640" s="93" t="s">
        <v>296</v>
      </c>
      <c r="C640" s="53"/>
      <c r="D640" s="53"/>
      <c r="E640" s="53"/>
      <c r="F640" s="54"/>
      <c r="G640" s="55"/>
      <c r="H640" s="55"/>
      <c r="I640" s="52"/>
    </row>
    <row r="641" spans="1:9" s="10" customFormat="1" ht="12.75" customHeight="1">
      <c r="A641" s="38"/>
      <c r="B641" s="93"/>
      <c r="C641" s="53"/>
      <c r="D641" s="53"/>
      <c r="E641" s="53"/>
      <c r="F641" s="54"/>
      <c r="G641" s="55"/>
      <c r="H641" s="55"/>
      <c r="I641" s="52"/>
    </row>
    <row r="642" spans="1:9" s="10" customFormat="1" ht="12.75" customHeight="1">
      <c r="A642" s="38"/>
      <c r="B642" s="93"/>
      <c r="C642" s="53"/>
      <c r="D642" s="53"/>
      <c r="E642" s="53"/>
      <c r="F642" s="54"/>
      <c r="G642" s="55"/>
      <c r="H642" s="55"/>
      <c r="I642" s="52"/>
    </row>
    <row r="643" spans="1:9" s="10" customFormat="1" ht="12.75" customHeight="1">
      <c r="A643" s="37" t="s">
        <v>681</v>
      </c>
      <c r="B643" s="92" t="s">
        <v>268</v>
      </c>
      <c r="C643" s="53"/>
      <c r="D643" s="53"/>
      <c r="E643" s="53"/>
      <c r="F643" s="54"/>
      <c r="G643" s="84">
        <f>-I639</f>
        <v>8000000</v>
      </c>
      <c r="H643" s="84">
        <v>0</v>
      </c>
      <c r="I643" s="52">
        <f>G643-H643+I639</f>
        <v>0</v>
      </c>
    </row>
    <row r="644" spans="1:9" s="10" customFormat="1" ht="12.75" customHeight="1">
      <c r="A644" s="38"/>
      <c r="B644" s="94"/>
      <c r="C644" s="53" t="s">
        <v>269</v>
      </c>
      <c r="D644" s="53"/>
      <c r="E644" s="53"/>
      <c r="F644" s="54"/>
      <c r="G644" s="84">
        <v>0</v>
      </c>
      <c r="H644" s="84">
        <v>2401233.333333333</v>
      </c>
      <c r="I644" s="52">
        <f>G644-H644</f>
        <v>-2401233.333333333</v>
      </c>
    </row>
    <row r="645" spans="1:9" s="10" customFormat="1" ht="12.75" customHeight="1">
      <c r="A645" s="38"/>
      <c r="B645" s="94"/>
      <c r="C645" s="53" t="s">
        <v>271</v>
      </c>
      <c r="D645" s="53"/>
      <c r="E645" s="53"/>
      <c r="F645" s="54"/>
      <c r="G645" s="84">
        <v>0</v>
      </c>
      <c r="H645" s="84">
        <v>5508432.341662991</v>
      </c>
      <c r="I645" s="52">
        <f>G645-H645+I626</f>
        <v>245491567.658337</v>
      </c>
    </row>
    <row r="646" spans="1:9" s="10" customFormat="1" ht="12.75" customHeight="1">
      <c r="A646" s="38"/>
      <c r="B646" s="92"/>
      <c r="C646" s="53" t="s">
        <v>672</v>
      </c>
      <c r="D646" s="53"/>
      <c r="E646" s="53"/>
      <c r="F646" s="54"/>
      <c r="G646" s="84">
        <v>0</v>
      </c>
      <c r="H646" s="84">
        <f>G643-H644-H645</f>
        <v>90334.32500367612</v>
      </c>
      <c r="I646" s="52">
        <f>G646-H646+I638</f>
        <v>-243090334.32500368</v>
      </c>
    </row>
    <row r="647" spans="1:9" s="10" customFormat="1" ht="12.75" customHeight="1">
      <c r="A647" s="38"/>
      <c r="B647" s="93" t="s">
        <v>274</v>
      </c>
      <c r="C647" s="53"/>
      <c r="D647" s="53"/>
      <c r="E647" s="53"/>
      <c r="F647" s="54"/>
      <c r="G647" s="84"/>
      <c r="H647" s="84"/>
      <c r="I647" s="52"/>
    </row>
    <row r="648" spans="1:9" s="10" customFormat="1" ht="12.75" customHeight="1">
      <c r="A648" s="38"/>
      <c r="B648" s="93"/>
      <c r="C648" s="53"/>
      <c r="D648" s="53"/>
      <c r="E648" s="53"/>
      <c r="F648" s="54"/>
      <c r="G648" s="84"/>
      <c r="H648" s="84"/>
      <c r="I648" s="52"/>
    </row>
    <row r="649" spans="1:9" s="10" customFormat="1" ht="12.75" customHeight="1">
      <c r="A649" s="37" t="s">
        <v>681</v>
      </c>
      <c r="B649" s="53" t="s">
        <v>673</v>
      </c>
      <c r="C649" s="53"/>
      <c r="D649" s="53"/>
      <c r="E649" s="53"/>
      <c r="F649" s="54"/>
      <c r="G649" s="84">
        <f>I321</f>
        <v>16942276.439911563</v>
      </c>
      <c r="H649" s="84">
        <v>0</v>
      </c>
      <c r="I649" s="52">
        <f>G649-H649</f>
        <v>16942276.439911563</v>
      </c>
    </row>
    <row r="650" spans="1:9" s="10" customFormat="1" ht="12.75" customHeight="1">
      <c r="A650" s="38"/>
      <c r="B650" s="93"/>
      <c r="C650" s="53" t="s">
        <v>675</v>
      </c>
      <c r="D650" s="53"/>
      <c r="E650" s="53"/>
      <c r="F650" s="54"/>
      <c r="G650" s="84">
        <f>H649</f>
        <v>0</v>
      </c>
      <c r="H650" s="84">
        <f>I649</f>
        <v>16942276.439911563</v>
      </c>
      <c r="I650" s="52">
        <f>G650-H650</f>
        <v>-16942276.439911563</v>
      </c>
    </row>
    <row r="651" spans="1:9" s="10" customFormat="1" ht="12.75" customHeight="1">
      <c r="A651" s="38"/>
      <c r="B651" s="93" t="s">
        <v>458</v>
      </c>
      <c r="C651" s="53"/>
      <c r="D651" s="53"/>
      <c r="E651" s="53"/>
      <c r="F651" s="54"/>
      <c r="G651" s="84"/>
      <c r="H651" s="84"/>
      <c r="I651" s="52"/>
    </row>
    <row r="652" spans="1:9" s="10" customFormat="1" ht="12.75" customHeight="1">
      <c r="A652" s="38"/>
      <c r="B652" s="93"/>
      <c r="C652" s="53"/>
      <c r="D652" s="53"/>
      <c r="E652" s="53"/>
      <c r="F652" s="54"/>
      <c r="G652" s="84"/>
      <c r="H652" s="84"/>
      <c r="I652" s="52"/>
    </row>
    <row r="653" spans="1:9" ht="12.75" customHeight="1">
      <c r="A653" s="37" t="s">
        <v>681</v>
      </c>
      <c r="B653" s="92" t="s">
        <v>269</v>
      </c>
      <c r="C653" s="53"/>
      <c r="D653" s="53"/>
      <c r="E653" s="53"/>
      <c r="F653" s="54"/>
      <c r="G653" s="84">
        <f>-I644</f>
        <v>2401233.333333333</v>
      </c>
      <c r="H653" s="51">
        <v>0</v>
      </c>
      <c r="I653" s="52">
        <f>G653-H653+I644</f>
        <v>0</v>
      </c>
    </row>
    <row r="654" spans="1:9" ht="12.75" customHeight="1">
      <c r="A654" s="26"/>
      <c r="B654" s="93"/>
      <c r="C654" s="53" t="s">
        <v>679</v>
      </c>
      <c r="D654" s="53"/>
      <c r="E654" s="53"/>
      <c r="F654" s="54"/>
      <c r="G654" s="51">
        <v>0</v>
      </c>
      <c r="H654" s="84">
        <f>G653</f>
        <v>2401233.333333333</v>
      </c>
      <c r="I654" s="52">
        <f>G654-H654</f>
        <v>-2401233.333333333</v>
      </c>
    </row>
    <row r="655" spans="1:9" ht="12.75" customHeight="1">
      <c r="A655" s="26"/>
      <c r="B655" s="93" t="s">
        <v>643</v>
      </c>
      <c r="C655" s="53"/>
      <c r="D655" s="53"/>
      <c r="E655" s="53"/>
      <c r="F655" s="54"/>
      <c r="G655" s="55"/>
      <c r="H655" s="55"/>
      <c r="I655" s="52"/>
    </row>
    <row r="656" spans="1:9" ht="12.75" customHeight="1" thickBot="1">
      <c r="A656" s="35"/>
      <c r="B656" s="113"/>
      <c r="C656" s="114"/>
      <c r="D656" s="114"/>
      <c r="E656" s="114"/>
      <c r="F656" s="115"/>
      <c r="G656" s="116"/>
      <c r="H656" s="116"/>
      <c r="I656" s="117"/>
    </row>
    <row r="657" spans="1:9" ht="12.75" customHeight="1">
      <c r="A657" s="26"/>
      <c r="B657" s="93"/>
      <c r="C657" s="53"/>
      <c r="D657" s="53"/>
      <c r="E657" s="53"/>
      <c r="F657" s="54"/>
      <c r="G657" s="55"/>
      <c r="H657" s="55"/>
      <c r="I657" s="52"/>
    </row>
    <row r="658" spans="1:9" s="10" customFormat="1" ht="12.75" customHeight="1">
      <c r="A658" s="37" t="s">
        <v>682</v>
      </c>
      <c r="B658" s="92" t="s">
        <v>672</v>
      </c>
      <c r="C658" s="53"/>
      <c r="D658" s="53"/>
      <c r="E658" s="53"/>
      <c r="F658" s="54"/>
      <c r="G658" s="84">
        <f>2100*4000</f>
        <v>8400000</v>
      </c>
      <c r="H658" s="51">
        <v>0</v>
      </c>
      <c r="I658" s="52">
        <f>G658-H658+I646</f>
        <v>-234690334.32500368</v>
      </c>
    </row>
    <row r="659" spans="1:9" s="10" customFormat="1" ht="12.75" customHeight="1">
      <c r="A659" s="38"/>
      <c r="B659" s="92"/>
      <c r="C659" s="53" t="s">
        <v>268</v>
      </c>
      <c r="D659" s="53"/>
      <c r="E659" s="53"/>
      <c r="F659" s="54"/>
      <c r="G659" s="84">
        <v>0</v>
      </c>
      <c r="H659" s="84">
        <f>G658</f>
        <v>8400000</v>
      </c>
      <c r="I659" s="52">
        <f>G659-H659</f>
        <v>-8400000</v>
      </c>
    </row>
    <row r="660" spans="1:9" s="10" customFormat="1" ht="12.75" customHeight="1">
      <c r="A660" s="38"/>
      <c r="B660" s="93" t="s">
        <v>295</v>
      </c>
      <c r="C660" s="53"/>
      <c r="D660" s="53"/>
      <c r="E660" s="53"/>
      <c r="F660" s="54"/>
      <c r="G660" s="84"/>
      <c r="H660" s="84"/>
      <c r="I660" s="112"/>
    </row>
    <row r="661" spans="1:9" s="10" customFormat="1" ht="12.75" customHeight="1">
      <c r="A661" s="38"/>
      <c r="B661" s="93"/>
      <c r="C661" s="53"/>
      <c r="D661" s="53"/>
      <c r="E661" s="53"/>
      <c r="F661" s="54"/>
      <c r="G661" s="84"/>
      <c r="H661" s="84"/>
      <c r="I661" s="112"/>
    </row>
    <row r="662" spans="1:9" s="10" customFormat="1" ht="12.75" customHeight="1">
      <c r="A662" s="37" t="s">
        <v>682</v>
      </c>
      <c r="B662" s="92" t="s">
        <v>672</v>
      </c>
      <c r="C662" s="53"/>
      <c r="D662" s="53"/>
      <c r="E662" s="53"/>
      <c r="F662" s="54"/>
      <c r="G662" s="84">
        <v>0</v>
      </c>
      <c r="H662" s="84">
        <f>-(2000-2100)*(4000)</f>
        <v>400000</v>
      </c>
      <c r="I662" s="112">
        <f>G662-H662+I658</f>
        <v>-235090334.32500368</v>
      </c>
    </row>
    <row r="663" spans="1:9" ht="12.75" customHeight="1">
      <c r="A663" s="26"/>
      <c r="B663" s="92"/>
      <c r="C663" s="53" t="s">
        <v>268</v>
      </c>
      <c r="D663" s="53"/>
      <c r="E663" s="53"/>
      <c r="F663" s="54"/>
      <c r="G663" s="84">
        <f>H662</f>
        <v>400000</v>
      </c>
      <c r="H663" s="84">
        <v>0</v>
      </c>
      <c r="I663" s="112">
        <f>G663-H663+I659</f>
        <v>-8000000</v>
      </c>
    </row>
    <row r="664" spans="1:9" ht="12.75" customHeight="1">
      <c r="A664" s="26"/>
      <c r="B664" s="93" t="s">
        <v>296</v>
      </c>
      <c r="C664" s="53"/>
      <c r="D664" s="53"/>
      <c r="E664" s="53"/>
      <c r="F664" s="54"/>
      <c r="G664" s="84"/>
      <c r="H664" s="84"/>
      <c r="I664" s="112"/>
    </row>
    <row r="665" spans="1:9" s="10" customFormat="1" ht="12.75" customHeight="1">
      <c r="A665" s="38"/>
      <c r="B665" s="93"/>
      <c r="C665" s="53"/>
      <c r="D665" s="53"/>
      <c r="E665" s="53"/>
      <c r="F665" s="54"/>
      <c r="G665" s="84"/>
      <c r="H665" s="84"/>
      <c r="I665" s="112"/>
    </row>
    <row r="666" spans="1:9" s="10" customFormat="1" ht="12.75" customHeight="1">
      <c r="A666" s="38"/>
      <c r="B666" s="93"/>
      <c r="C666" s="53"/>
      <c r="D666" s="53"/>
      <c r="E666" s="53"/>
      <c r="F666" s="54"/>
      <c r="G666" s="84"/>
      <c r="H666" s="84"/>
      <c r="I666" s="112"/>
    </row>
    <row r="667" spans="1:9" s="10" customFormat="1" ht="12.75" customHeight="1">
      <c r="A667" s="37" t="s">
        <v>682</v>
      </c>
      <c r="B667" s="92" t="s">
        <v>268</v>
      </c>
      <c r="C667" s="53"/>
      <c r="D667" s="53"/>
      <c r="E667" s="53"/>
      <c r="F667" s="54"/>
      <c r="G667" s="84">
        <f>-I663</f>
        <v>8000000</v>
      </c>
      <c r="H667" s="84">
        <v>0</v>
      </c>
      <c r="I667" s="112">
        <f>G667-H667+I663</f>
        <v>0</v>
      </c>
    </row>
    <row r="668" spans="1:9" s="10" customFormat="1" ht="12.75" customHeight="1">
      <c r="A668" s="38"/>
      <c r="B668" s="94"/>
      <c r="C668" s="53" t="s">
        <v>269</v>
      </c>
      <c r="D668" s="53"/>
      <c r="E668" s="53"/>
      <c r="F668" s="54"/>
      <c r="G668" s="84">
        <v>0</v>
      </c>
      <c r="H668" s="84">
        <v>2348536</v>
      </c>
      <c r="I668" s="112">
        <f>G668-H668</f>
        <v>-2348536</v>
      </c>
    </row>
    <row r="669" spans="1:9" s="10" customFormat="1" ht="12.75" customHeight="1">
      <c r="A669" s="38"/>
      <c r="B669" s="94"/>
      <c r="C669" s="53" t="s">
        <v>271</v>
      </c>
      <c r="D669" s="53"/>
      <c r="E669" s="53"/>
      <c r="F669" s="54"/>
      <c r="G669" s="84">
        <v>0</v>
      </c>
      <c r="H669" s="84">
        <v>5561130</v>
      </c>
      <c r="I669" s="112">
        <f>G669-H669+I645</f>
        <v>239930437.658337</v>
      </c>
    </row>
    <row r="670" spans="1:9" s="10" customFormat="1" ht="12.75" customHeight="1">
      <c r="A670" s="38"/>
      <c r="B670" s="92"/>
      <c r="C670" s="53" t="s">
        <v>672</v>
      </c>
      <c r="D670" s="53"/>
      <c r="E670" s="53"/>
      <c r="F670" s="54"/>
      <c r="G670" s="84">
        <v>0</v>
      </c>
      <c r="H670" s="84">
        <f>G667-H668-H669</f>
        <v>90334</v>
      </c>
      <c r="I670" s="112">
        <f>G670-H670+I662</f>
        <v>-235180668.32500368</v>
      </c>
    </row>
    <row r="671" spans="1:9" s="10" customFormat="1" ht="12.75" customHeight="1">
      <c r="A671" s="38"/>
      <c r="B671" s="93" t="s">
        <v>274</v>
      </c>
      <c r="C671" s="53"/>
      <c r="D671" s="53"/>
      <c r="E671" s="53"/>
      <c r="F671" s="54"/>
      <c r="G671" s="84"/>
      <c r="H671" s="84"/>
      <c r="I671" s="112"/>
    </row>
    <row r="672" spans="1:9" s="10" customFormat="1" ht="12.75" customHeight="1">
      <c r="A672" s="38"/>
      <c r="B672" s="93"/>
      <c r="C672" s="53"/>
      <c r="D672" s="53"/>
      <c r="E672" s="53"/>
      <c r="F672" s="54"/>
      <c r="G672" s="84"/>
      <c r="H672" s="84"/>
      <c r="I672" s="112"/>
    </row>
    <row r="673" spans="1:9" s="10" customFormat="1" ht="12.75" customHeight="1">
      <c r="A673" s="37" t="s">
        <v>682</v>
      </c>
      <c r="B673" s="53" t="s">
        <v>673</v>
      </c>
      <c r="C673" s="53"/>
      <c r="D673" s="53"/>
      <c r="E673" s="53"/>
      <c r="F673" s="54"/>
      <c r="G673" s="84">
        <v>0</v>
      </c>
      <c r="H673" s="84">
        <f>I355-I322</f>
        <v>28006550.164251726</v>
      </c>
      <c r="I673" s="52">
        <f>G673-H673+I649</f>
        <v>-11064273.724340163</v>
      </c>
    </row>
    <row r="674" spans="1:9" s="10" customFormat="1" ht="12.75" customHeight="1">
      <c r="A674" s="38"/>
      <c r="B674" s="93"/>
      <c r="C674" s="53" t="s">
        <v>675</v>
      </c>
      <c r="D674" s="53"/>
      <c r="E674" s="53"/>
      <c r="F674" s="54"/>
      <c r="G674" s="84">
        <f>H673</f>
        <v>28006550.164251726</v>
      </c>
      <c r="H674" s="84">
        <f>G673</f>
        <v>0</v>
      </c>
      <c r="I674" s="52">
        <f>G674-H674+I650</f>
        <v>11064273.724340163</v>
      </c>
    </row>
    <row r="675" spans="1:9" s="10" customFormat="1" ht="12.75" customHeight="1">
      <c r="A675" s="38"/>
      <c r="B675" s="93" t="s">
        <v>458</v>
      </c>
      <c r="C675" s="53"/>
      <c r="D675" s="53"/>
      <c r="E675" s="53"/>
      <c r="F675" s="54"/>
      <c r="G675" s="84"/>
      <c r="H675" s="84"/>
      <c r="I675" s="52"/>
    </row>
    <row r="676" spans="1:9" s="10" customFormat="1" ht="12.75" customHeight="1">
      <c r="A676" s="38"/>
      <c r="B676" s="93"/>
      <c r="C676" s="53"/>
      <c r="D676" s="53"/>
      <c r="E676" s="53"/>
      <c r="F676" s="54"/>
      <c r="G676" s="84"/>
      <c r="H676" s="84"/>
      <c r="I676" s="112"/>
    </row>
    <row r="677" spans="1:9" ht="12.75" customHeight="1">
      <c r="A677" s="37" t="s">
        <v>682</v>
      </c>
      <c r="B677" s="92" t="s">
        <v>269</v>
      </c>
      <c r="C677" s="53"/>
      <c r="D677" s="53"/>
      <c r="E677" s="53"/>
      <c r="F677" s="54"/>
      <c r="G677" s="84">
        <f>-I668</f>
        <v>2348536</v>
      </c>
      <c r="H677" s="84">
        <v>0</v>
      </c>
      <c r="I677" s="112">
        <f>G677+H677+I668</f>
        <v>0</v>
      </c>
    </row>
    <row r="678" spans="1:9" ht="12.75" customHeight="1">
      <c r="A678" s="26"/>
      <c r="B678" s="93"/>
      <c r="C678" s="53" t="s">
        <v>679</v>
      </c>
      <c r="D678" s="53"/>
      <c r="E678" s="53"/>
      <c r="F678" s="54"/>
      <c r="G678" s="84">
        <v>0</v>
      </c>
      <c r="H678" s="84">
        <f>G677</f>
        <v>2348536</v>
      </c>
      <c r="I678" s="112">
        <f>G678-H678+I654</f>
        <v>-4749769.333333333</v>
      </c>
    </row>
    <row r="679" spans="1:9" ht="12.75" customHeight="1">
      <c r="A679" s="26"/>
      <c r="B679" s="93" t="s">
        <v>643</v>
      </c>
      <c r="C679" s="53"/>
      <c r="D679" s="53"/>
      <c r="E679" s="53"/>
      <c r="F679" s="54"/>
      <c r="G679" s="84"/>
      <c r="H679" s="84"/>
      <c r="I679" s="112"/>
    </row>
    <row r="680" spans="1:9" ht="12.75" customHeight="1" thickBot="1">
      <c r="A680" s="35"/>
      <c r="B680" s="113"/>
      <c r="C680" s="114"/>
      <c r="D680" s="114"/>
      <c r="E680" s="114"/>
      <c r="F680" s="115"/>
      <c r="G680" s="118"/>
      <c r="H680" s="118"/>
      <c r="I680" s="119"/>
    </row>
    <row r="681" spans="1:9" ht="12.75" customHeight="1">
      <c r="A681" s="26"/>
      <c r="B681" s="93"/>
      <c r="C681" s="53"/>
      <c r="D681" s="53"/>
      <c r="E681" s="53"/>
      <c r="F681" s="54"/>
      <c r="G681" s="84"/>
      <c r="H681" s="84"/>
      <c r="I681" s="112"/>
    </row>
    <row r="682" spans="1:9" s="10" customFormat="1" ht="12.75" customHeight="1">
      <c r="A682" s="37" t="s">
        <v>684</v>
      </c>
      <c r="B682" s="92" t="s">
        <v>672</v>
      </c>
      <c r="C682" s="53"/>
      <c r="D682" s="53"/>
      <c r="E682" s="53"/>
      <c r="F682" s="54"/>
      <c r="G682" s="84">
        <f>2400*4000</f>
        <v>9600000</v>
      </c>
      <c r="H682" s="51">
        <v>0</v>
      </c>
      <c r="I682" s="52">
        <f>G682-H682+I670</f>
        <v>-225580668.32500368</v>
      </c>
    </row>
    <row r="683" spans="1:9" s="10" customFormat="1" ht="12.75" customHeight="1">
      <c r="A683" s="38"/>
      <c r="B683" s="92"/>
      <c r="C683" s="53" t="s">
        <v>268</v>
      </c>
      <c r="D683" s="53"/>
      <c r="E683" s="53"/>
      <c r="F683" s="54"/>
      <c r="G683" s="84">
        <v>0</v>
      </c>
      <c r="H683" s="84">
        <f>G682</f>
        <v>9600000</v>
      </c>
      <c r="I683" s="52">
        <f>G683-H683</f>
        <v>-9600000</v>
      </c>
    </row>
    <row r="684" spans="1:9" s="10" customFormat="1" ht="12.75" customHeight="1">
      <c r="A684" s="38"/>
      <c r="B684" s="93" t="s">
        <v>295</v>
      </c>
      <c r="C684" s="53"/>
      <c r="D684" s="53"/>
      <c r="E684" s="53"/>
      <c r="F684" s="54"/>
      <c r="G684" s="84"/>
      <c r="H684" s="84"/>
      <c r="I684" s="112"/>
    </row>
    <row r="685" spans="1:9" s="10" customFormat="1" ht="12.75" customHeight="1">
      <c r="A685" s="38"/>
      <c r="B685" s="93"/>
      <c r="C685" s="53"/>
      <c r="D685" s="53"/>
      <c r="E685" s="53"/>
      <c r="F685" s="54"/>
      <c r="G685" s="84"/>
      <c r="H685" s="84"/>
      <c r="I685" s="112"/>
    </row>
    <row r="686" spans="1:9" s="10" customFormat="1" ht="12.75" customHeight="1">
      <c r="A686" s="37" t="s">
        <v>684</v>
      </c>
      <c r="B686" s="92" t="s">
        <v>672</v>
      </c>
      <c r="C686" s="53"/>
      <c r="D686" s="53"/>
      <c r="E686" s="53"/>
      <c r="F686" s="54"/>
      <c r="G686" s="84">
        <v>0</v>
      </c>
      <c r="H686" s="84">
        <f>-(2000-2400)*(4000)</f>
        <v>1600000</v>
      </c>
      <c r="I686" s="112">
        <f>G686-H686+I682</f>
        <v>-227180668.32500368</v>
      </c>
    </row>
    <row r="687" spans="1:9" ht="12.75" customHeight="1">
      <c r="A687" s="26"/>
      <c r="B687" s="92"/>
      <c r="C687" s="53" t="s">
        <v>268</v>
      </c>
      <c r="D687" s="53"/>
      <c r="E687" s="53"/>
      <c r="F687" s="54"/>
      <c r="G687" s="84">
        <f>H686</f>
        <v>1600000</v>
      </c>
      <c r="H687" s="84">
        <v>0</v>
      </c>
      <c r="I687" s="112">
        <f>G687-H687+I683</f>
        <v>-8000000</v>
      </c>
    </row>
    <row r="688" spans="1:9" ht="12.75" customHeight="1">
      <c r="A688" s="26"/>
      <c r="B688" s="93" t="s">
        <v>296</v>
      </c>
      <c r="C688" s="53"/>
      <c r="D688" s="53"/>
      <c r="E688" s="53"/>
      <c r="F688" s="54"/>
      <c r="G688" s="84"/>
      <c r="H688" s="84"/>
      <c r="I688" s="112"/>
    </row>
    <row r="689" spans="1:9" s="10" customFormat="1" ht="12.75" customHeight="1">
      <c r="A689" s="38"/>
      <c r="B689" s="93"/>
      <c r="C689" s="53"/>
      <c r="D689" s="53"/>
      <c r="E689" s="53"/>
      <c r="F689" s="54"/>
      <c r="G689" s="84"/>
      <c r="H689" s="84"/>
      <c r="I689" s="112"/>
    </row>
    <row r="690" spans="1:9" s="10" customFormat="1" ht="12.75" customHeight="1">
      <c r="A690" s="37" t="s">
        <v>684</v>
      </c>
      <c r="B690" s="92" t="s">
        <v>268</v>
      </c>
      <c r="C690" s="53"/>
      <c r="D690" s="53"/>
      <c r="E690" s="53"/>
      <c r="F690" s="54"/>
      <c r="G690" s="84">
        <f>-I687</f>
        <v>8000000</v>
      </c>
      <c r="H690" s="84">
        <v>0</v>
      </c>
      <c r="I690" s="112">
        <f>G690-H690+I687</f>
        <v>0</v>
      </c>
    </row>
    <row r="691" spans="1:9" s="10" customFormat="1" ht="12.75" customHeight="1">
      <c r="A691" s="38"/>
      <c r="B691" s="94"/>
      <c r="C691" s="53" t="s">
        <v>269</v>
      </c>
      <c r="D691" s="53"/>
      <c r="E691" s="53"/>
      <c r="F691" s="54"/>
      <c r="G691" s="84">
        <v>0</v>
      </c>
      <c r="H691" s="84">
        <v>2295335</v>
      </c>
      <c r="I691" s="112">
        <f>G691-H691</f>
        <v>-2295335</v>
      </c>
    </row>
    <row r="692" spans="1:9" s="10" customFormat="1" ht="12.75" customHeight="1">
      <c r="A692" s="38"/>
      <c r="B692" s="94"/>
      <c r="C692" s="53" t="s">
        <v>271</v>
      </c>
      <c r="D692" s="53"/>
      <c r="E692" s="53"/>
      <c r="F692" s="54"/>
      <c r="G692" s="84">
        <v>0</v>
      </c>
      <c r="H692" s="84">
        <v>5614331</v>
      </c>
      <c r="I692" s="112">
        <f>G692-H692+I669</f>
        <v>234316106.658337</v>
      </c>
    </row>
    <row r="693" spans="1:9" s="10" customFormat="1" ht="12.75" customHeight="1">
      <c r="A693" s="38"/>
      <c r="B693" s="92"/>
      <c r="C693" s="53" t="s">
        <v>672</v>
      </c>
      <c r="D693" s="53"/>
      <c r="E693" s="53"/>
      <c r="F693" s="54"/>
      <c r="G693" s="84">
        <v>0</v>
      </c>
      <c r="H693" s="84">
        <f>G690-H691-H692</f>
        <v>90334</v>
      </c>
      <c r="I693" s="112">
        <f>G693-H693+I686</f>
        <v>-227271002.32500368</v>
      </c>
    </row>
    <row r="694" spans="1:9" s="10" customFormat="1" ht="12.75" customHeight="1">
      <c r="A694" s="38"/>
      <c r="B694" s="93" t="s">
        <v>274</v>
      </c>
      <c r="C694" s="53"/>
      <c r="D694" s="53"/>
      <c r="E694" s="53"/>
      <c r="F694" s="54"/>
      <c r="G694" s="84"/>
      <c r="H694" s="84"/>
      <c r="I694" s="112"/>
    </row>
    <row r="695" spans="1:9" s="10" customFormat="1" ht="12.75" customHeight="1">
      <c r="A695" s="38"/>
      <c r="B695" s="93"/>
      <c r="C695" s="53"/>
      <c r="D695" s="53"/>
      <c r="E695" s="53"/>
      <c r="F695" s="54"/>
      <c r="G695" s="84"/>
      <c r="H695" s="84"/>
      <c r="I695" s="112"/>
    </row>
    <row r="696" spans="1:9" s="10" customFormat="1" ht="12.75" customHeight="1">
      <c r="A696" s="37" t="s">
        <v>684</v>
      </c>
      <c r="B696" s="53" t="s">
        <v>673</v>
      </c>
      <c r="C696" s="53"/>
      <c r="D696" s="53"/>
      <c r="E696" s="53"/>
      <c r="F696" s="54"/>
      <c r="G696" s="84">
        <v>0</v>
      </c>
      <c r="H696" s="84">
        <f>I376-I323</f>
        <v>32256677.596480906</v>
      </c>
      <c r="I696" s="52">
        <f>G696-H696+I673</f>
        <v>-43320951.32082107</v>
      </c>
    </row>
    <row r="697" spans="1:9" s="10" customFormat="1" ht="12.75" customHeight="1">
      <c r="A697" s="38"/>
      <c r="B697" s="93"/>
      <c r="C697" s="53" t="s">
        <v>675</v>
      </c>
      <c r="D697" s="53"/>
      <c r="E697" s="53"/>
      <c r="F697" s="54"/>
      <c r="G697" s="84">
        <f>H696</f>
        <v>32256677.596480906</v>
      </c>
      <c r="H697" s="84">
        <f>G696</f>
        <v>0</v>
      </c>
      <c r="I697" s="52">
        <f>G697-H697+I674</f>
        <v>43320951.32082107</v>
      </c>
    </row>
    <row r="698" spans="1:9" s="10" customFormat="1" ht="12.75" customHeight="1">
      <c r="A698" s="38"/>
      <c r="B698" s="93" t="s">
        <v>458</v>
      </c>
      <c r="C698" s="53"/>
      <c r="D698" s="53"/>
      <c r="E698" s="53"/>
      <c r="F698" s="54"/>
      <c r="G698" s="84"/>
      <c r="H698" s="84"/>
      <c r="I698" s="52"/>
    </row>
    <row r="699" spans="1:9" s="10" customFormat="1" ht="12.75" customHeight="1">
      <c r="A699" s="38"/>
      <c r="B699" s="93"/>
      <c r="C699" s="53"/>
      <c r="D699" s="53"/>
      <c r="E699" s="53"/>
      <c r="F699" s="54"/>
      <c r="G699" s="84"/>
      <c r="H699" s="84"/>
      <c r="I699" s="112"/>
    </row>
    <row r="700" spans="1:9" ht="12.75" customHeight="1">
      <c r="A700" s="37" t="s">
        <v>684</v>
      </c>
      <c r="B700" s="92" t="s">
        <v>269</v>
      </c>
      <c r="C700" s="53"/>
      <c r="D700" s="53"/>
      <c r="E700" s="53"/>
      <c r="F700" s="54"/>
      <c r="G700" s="84">
        <f>-I691</f>
        <v>2295335</v>
      </c>
      <c r="H700" s="84">
        <v>0</v>
      </c>
      <c r="I700" s="112">
        <f>G700-H700+I691</f>
        <v>0</v>
      </c>
    </row>
    <row r="701" spans="1:9" ht="12.75" customHeight="1">
      <c r="A701" s="26"/>
      <c r="B701" s="93"/>
      <c r="C701" s="53" t="s">
        <v>679</v>
      </c>
      <c r="D701" s="53"/>
      <c r="E701" s="53"/>
      <c r="F701" s="54"/>
      <c r="G701" s="84">
        <v>0</v>
      </c>
      <c r="H701" s="84">
        <f>G700</f>
        <v>2295335</v>
      </c>
      <c r="I701" s="112">
        <f>G701-H701+I678</f>
        <v>-7045104.333333333</v>
      </c>
    </row>
    <row r="702" spans="1:9" ht="12.75" customHeight="1">
      <c r="A702" s="26"/>
      <c r="B702" s="93" t="s">
        <v>643</v>
      </c>
      <c r="C702" s="53"/>
      <c r="D702" s="53"/>
      <c r="E702" s="53"/>
      <c r="F702" s="54"/>
      <c r="G702" s="84"/>
      <c r="H702" s="84"/>
      <c r="I702" s="112"/>
    </row>
    <row r="703" spans="1:9" ht="12.75" customHeight="1">
      <c r="A703" s="26"/>
      <c r="B703" s="93"/>
      <c r="C703" s="53"/>
      <c r="D703" s="53"/>
      <c r="E703" s="53"/>
      <c r="F703" s="54"/>
      <c r="G703" s="84"/>
      <c r="H703" s="84"/>
      <c r="I703" s="112"/>
    </row>
    <row r="704" spans="1:8" ht="13.5" thickBot="1">
      <c r="A704" s="111"/>
      <c r="B704" s="109"/>
      <c r="C704" s="110"/>
      <c r="D704" s="110"/>
      <c r="E704" s="110"/>
      <c r="F704" s="47"/>
      <c r="G704" s="111"/>
      <c r="H704" s="111"/>
    </row>
    <row r="706" ht="12.75">
      <c r="A706" s="10" t="s">
        <v>469</v>
      </c>
    </row>
    <row r="707" ht="12.75">
      <c r="A707" s="10" t="s">
        <v>470</v>
      </c>
    </row>
    <row r="708" ht="12.75">
      <c r="A708" s="10" t="s">
        <v>471</v>
      </c>
    </row>
    <row r="709" ht="12.75">
      <c r="A709" s="10" t="s">
        <v>472</v>
      </c>
    </row>
    <row r="710" ht="12.75">
      <c r="A710" s="10"/>
    </row>
    <row r="711" spans="1:9" ht="12.75" customHeight="1">
      <c r="A711" s="10" t="s">
        <v>473</v>
      </c>
      <c r="B711" s="10"/>
      <c r="C711" s="10"/>
      <c r="D711" s="10"/>
      <c r="E711" s="10"/>
      <c r="F711" s="10"/>
      <c r="G711" s="10"/>
      <c r="H711" s="10"/>
      <c r="I711" s="10"/>
    </row>
    <row r="712" spans="1:9" ht="12.75" customHeight="1">
      <c r="A712" s="10" t="s">
        <v>474</v>
      </c>
      <c r="B712" s="10"/>
      <c r="C712" s="10"/>
      <c r="D712" s="10"/>
      <c r="E712" s="10"/>
      <c r="F712" s="10"/>
      <c r="G712" s="10"/>
      <c r="H712" s="10"/>
      <c r="I712" s="10"/>
    </row>
    <row r="713" spans="1:9" ht="12.75" customHeight="1">
      <c r="A713" s="10" t="s">
        <v>475</v>
      </c>
      <c r="B713" s="10"/>
      <c r="C713" s="10"/>
      <c r="D713" s="10"/>
      <c r="E713" s="10"/>
      <c r="F713" s="10"/>
      <c r="G713" s="10"/>
      <c r="H713" s="10"/>
      <c r="I713" s="10"/>
    </row>
    <row r="714" spans="1:9" ht="12.75" customHeight="1">
      <c r="A714" s="10" t="s">
        <v>476</v>
      </c>
      <c r="B714" s="10"/>
      <c r="C714" s="10"/>
      <c r="D714" s="10"/>
      <c r="E714" s="10"/>
      <c r="F714" s="10"/>
      <c r="G714" s="10"/>
      <c r="H714" s="10"/>
      <c r="I714" s="10"/>
    </row>
    <row r="715" spans="1:9" ht="12.75">
      <c r="A715" s="10" t="s">
        <v>477</v>
      </c>
      <c r="B715" s="10"/>
      <c r="C715" s="10"/>
      <c r="D715" s="10"/>
      <c r="E715" s="10"/>
      <c r="F715" s="10"/>
      <c r="G715" s="10"/>
      <c r="H715" s="10"/>
      <c r="I715" s="10"/>
    </row>
    <row r="716" spans="1:9" ht="12.75">
      <c r="A716" s="10" t="s">
        <v>540</v>
      </c>
      <c r="B716" s="10"/>
      <c r="C716" s="10"/>
      <c r="D716" s="10"/>
      <c r="E716" s="10"/>
      <c r="F716" s="10"/>
      <c r="G716" s="10"/>
      <c r="H716" s="10"/>
      <c r="I716" s="10"/>
    </row>
    <row r="717" spans="1:9" ht="12.75">
      <c r="A717" s="10" t="s">
        <v>541</v>
      </c>
      <c r="B717" s="10"/>
      <c r="C717" s="10"/>
      <c r="D717" s="10"/>
      <c r="E717" s="10"/>
      <c r="F717" s="10"/>
      <c r="G717" s="10"/>
      <c r="H717" s="10"/>
      <c r="I717" s="10"/>
    </row>
    <row r="718" ht="12.75">
      <c r="A718" s="10" t="s">
        <v>542</v>
      </c>
    </row>
    <row r="719" ht="12.75">
      <c r="A719" s="10"/>
    </row>
    <row r="721" ht="16.5" customHeight="1">
      <c r="A721" s="3" t="s">
        <v>298</v>
      </c>
    </row>
    <row r="722" ht="12.75">
      <c r="B722" t="s">
        <v>278</v>
      </c>
    </row>
    <row r="723" ht="12.75">
      <c r="B723" t="s">
        <v>279</v>
      </c>
    </row>
    <row r="724" ht="12.75">
      <c r="B724" t="s">
        <v>612</v>
      </c>
    </row>
    <row r="725" ht="12.75">
      <c r="B725" t="s">
        <v>280</v>
      </c>
    </row>
    <row r="727" ht="12.75">
      <c r="B727" t="s">
        <v>283</v>
      </c>
    </row>
    <row r="728" ht="12.75">
      <c r="B728" t="s">
        <v>284</v>
      </c>
    </row>
    <row r="729" ht="12.75">
      <c r="B729" t="s">
        <v>613</v>
      </c>
    </row>
    <row r="730" ht="12.75">
      <c r="B730" t="s">
        <v>614</v>
      </c>
    </row>
    <row r="732" ht="12.75">
      <c r="A732" t="s">
        <v>65</v>
      </c>
    </row>
    <row r="733" ht="13.5" thickBot="1"/>
    <row r="734" spans="3:9" ht="12.75">
      <c r="C734" t="s">
        <v>69</v>
      </c>
      <c r="D734" s="172" t="s">
        <v>68</v>
      </c>
      <c r="E734" s="30"/>
      <c r="F734" s="172" t="s">
        <v>70</v>
      </c>
      <c r="G734" s="30"/>
      <c r="H734" s="172" t="s">
        <v>71</v>
      </c>
      <c r="I734" s="30"/>
    </row>
    <row r="735" spans="4:9" ht="12.75">
      <c r="D735" s="173" t="s">
        <v>285</v>
      </c>
      <c r="E735" s="174" t="s">
        <v>285</v>
      </c>
      <c r="F735" s="173" t="s">
        <v>285</v>
      </c>
      <c r="G735" s="174" t="s">
        <v>285</v>
      </c>
      <c r="H735" s="173" t="s">
        <v>285</v>
      </c>
      <c r="I735" s="174" t="s">
        <v>285</v>
      </c>
    </row>
    <row r="736" spans="4:9" ht="12.75">
      <c r="D736" s="173" t="s">
        <v>286</v>
      </c>
      <c r="E736" s="174" t="s">
        <v>288</v>
      </c>
      <c r="F736" s="173" t="s">
        <v>286</v>
      </c>
      <c r="G736" s="174" t="s">
        <v>288</v>
      </c>
      <c r="H736" s="173" t="s">
        <v>286</v>
      </c>
      <c r="I736" s="174" t="s">
        <v>288</v>
      </c>
    </row>
    <row r="737" spans="4:9" ht="13.5" thickBot="1">
      <c r="D737" s="173" t="s">
        <v>287</v>
      </c>
      <c r="E737" s="174" t="s">
        <v>287</v>
      </c>
      <c r="F737" s="173" t="s">
        <v>287</v>
      </c>
      <c r="G737" s="174" t="s">
        <v>287</v>
      </c>
      <c r="H737" s="173" t="s">
        <v>287</v>
      </c>
      <c r="I737" s="174" t="s">
        <v>287</v>
      </c>
    </row>
    <row r="738" spans="1:9" ht="13.5" thickBot="1">
      <c r="A738" t="s">
        <v>66</v>
      </c>
      <c r="D738" s="150" t="s">
        <v>289</v>
      </c>
      <c r="E738" s="150" t="s">
        <v>289</v>
      </c>
      <c r="F738" s="150" t="s">
        <v>289</v>
      </c>
      <c r="G738" s="150" t="s">
        <v>289</v>
      </c>
      <c r="H738" s="150" t="s">
        <v>289</v>
      </c>
      <c r="I738" s="150" t="s">
        <v>289</v>
      </c>
    </row>
    <row r="739" spans="1:9" ht="13.5" thickBot="1">
      <c r="A739" t="s">
        <v>67</v>
      </c>
      <c r="D739" s="150" t="s">
        <v>289</v>
      </c>
      <c r="E739" s="150" t="s">
        <v>289</v>
      </c>
      <c r="F739" s="150" t="s">
        <v>289</v>
      </c>
      <c r="G739" s="150" t="s">
        <v>289</v>
      </c>
      <c r="H739" s="150" t="s">
        <v>289</v>
      </c>
      <c r="I739" s="150" t="s">
        <v>289</v>
      </c>
    </row>
    <row r="740" spans="4:9" ht="13.5" thickBot="1">
      <c r="D740" s="60"/>
      <c r="E740" s="60"/>
      <c r="F740" s="60"/>
      <c r="G740" s="60"/>
      <c r="H740" s="60"/>
      <c r="I740" s="60"/>
    </row>
    <row r="741" spans="1:9" ht="13.5" thickBot="1">
      <c r="A741" t="s">
        <v>72</v>
      </c>
      <c r="D741" s="150" t="s">
        <v>289</v>
      </c>
      <c r="E741" s="60"/>
      <c r="F741" s="60"/>
      <c r="G741" s="60"/>
      <c r="H741" s="60"/>
      <c r="I741" s="60"/>
    </row>
    <row r="743" ht="12.75">
      <c r="A743" s="10" t="s">
        <v>126</v>
      </c>
    </row>
    <row r="744" ht="12.75">
      <c r="A744" s="10"/>
    </row>
    <row r="745" ht="12.75">
      <c r="A745" s="10"/>
    </row>
    <row r="746" ht="12.75">
      <c r="A746" s="2" t="s">
        <v>736</v>
      </c>
    </row>
    <row r="747" ht="12.75">
      <c r="A747" s="10"/>
    </row>
    <row r="748" spans="1:4" ht="12.75">
      <c r="A748" s="10"/>
      <c r="B748" s="57" t="s">
        <v>16</v>
      </c>
      <c r="D748" s="57" t="s">
        <v>20</v>
      </c>
    </row>
    <row r="749" spans="1:4" ht="12.75">
      <c r="A749" s="10"/>
      <c r="B749" s="168" t="s">
        <v>17</v>
      </c>
      <c r="D749" s="168" t="s">
        <v>17</v>
      </c>
    </row>
    <row r="750" spans="1:4" ht="12.75">
      <c r="A750" s="10"/>
      <c r="B750" s="168" t="s">
        <v>18</v>
      </c>
      <c r="D750" s="168" t="s">
        <v>18</v>
      </c>
    </row>
    <row r="751" spans="1:4" ht="12.75">
      <c r="A751" s="10"/>
      <c r="B751" s="168" t="s">
        <v>19</v>
      </c>
      <c r="D751" s="168" t="s">
        <v>19</v>
      </c>
    </row>
    <row r="752" spans="1:4" ht="12.75">
      <c r="A752" t="s">
        <v>21</v>
      </c>
      <c r="B752" s="169">
        <f>RATE(38,7909666,-251000000)</f>
        <v>0.009566668926362048</v>
      </c>
      <c r="C752" t="s">
        <v>215</v>
      </c>
      <c r="D752" s="181">
        <f>RATE(38,8000000,-251000000)</f>
        <v>0.010192642323140605</v>
      </c>
    </row>
    <row r="753" spans="1:4" ht="12.75">
      <c r="A753" t="s">
        <v>22</v>
      </c>
      <c r="B753" s="170">
        <f>12*RATE(38,7909666,-251000000)</f>
        <v>0.11480002711634457</v>
      </c>
      <c r="C753" t="s">
        <v>215</v>
      </c>
      <c r="D753" s="170">
        <f>12*D752</f>
        <v>0.12231170787768725</v>
      </c>
    </row>
    <row r="755" spans="1:8" ht="12.75">
      <c r="A755" s="6" t="s">
        <v>652</v>
      </c>
      <c r="B755" s="6"/>
      <c r="C755" s="6"/>
      <c r="D755" s="6"/>
      <c r="E755" s="6"/>
      <c r="F755" s="6"/>
      <c r="G755" s="6"/>
      <c r="H755" s="6"/>
    </row>
    <row r="756" spans="1:8" ht="12.75">
      <c r="A756" s="6" t="s">
        <v>307</v>
      </c>
      <c r="B756" s="6"/>
      <c r="C756" s="6"/>
      <c r="D756" s="6"/>
      <c r="E756" s="6"/>
      <c r="F756" s="6"/>
      <c r="G756" s="6"/>
      <c r="H756" s="6"/>
    </row>
    <row r="757" spans="1:8" ht="12.75">
      <c r="A757" s="6" t="s">
        <v>308</v>
      </c>
      <c r="B757" s="6"/>
      <c r="C757" s="6"/>
      <c r="D757" s="6"/>
      <c r="E757" s="6"/>
      <c r="F757" s="6"/>
      <c r="G757" s="6"/>
      <c r="H757" s="6"/>
    </row>
    <row r="758" spans="1:8" ht="12.75">
      <c r="A758" s="6" t="s">
        <v>624</v>
      </c>
      <c r="B758" s="6"/>
      <c r="C758" s="6"/>
      <c r="D758" s="6"/>
      <c r="E758" s="6"/>
      <c r="F758" s="6"/>
      <c r="G758" s="6"/>
      <c r="H758" s="6"/>
    </row>
    <row r="759" spans="1:8" ht="12.75">
      <c r="A759" s="6" t="s">
        <v>290</v>
      </c>
      <c r="B759" s="6"/>
      <c r="C759" s="6"/>
      <c r="D759" s="6"/>
      <c r="E759" s="6"/>
      <c r="F759" s="6"/>
      <c r="G759" s="6"/>
      <c r="H759" s="6"/>
    </row>
    <row r="760" spans="1:8" ht="12.75">
      <c r="A760" s="6" t="s">
        <v>127</v>
      </c>
      <c r="B760" s="6"/>
      <c r="C760" s="6"/>
      <c r="D760" s="6"/>
      <c r="E760" s="6"/>
      <c r="F760" s="6"/>
      <c r="G760" s="6"/>
      <c r="H760" s="6"/>
    </row>
    <row r="762" ht="12.75">
      <c r="A762" s="2" t="s">
        <v>609</v>
      </c>
    </row>
    <row r="763" spans="1:9" ht="12.75">
      <c r="A763" s="10"/>
      <c r="B763" t="s">
        <v>25</v>
      </c>
      <c r="D763" t="s">
        <v>26</v>
      </c>
      <c r="I763" s="168" t="s">
        <v>694</v>
      </c>
    </row>
    <row r="764" spans="1:9" ht="12.75">
      <c r="A764" s="10"/>
      <c r="B764" s="122">
        <f>(7400000-5508432.34166299)/251000000</f>
        <v>0.007536126128832709</v>
      </c>
      <c r="C764" s="121" t="s">
        <v>306</v>
      </c>
      <c r="D764" s="120" t="s">
        <v>358</v>
      </c>
      <c r="I764" s="169">
        <f>B764*12</f>
        <v>0.09043351354599251</v>
      </c>
    </row>
    <row r="765" spans="1:9" ht="12.75">
      <c r="A765" s="10"/>
      <c r="B765" s="122">
        <f>(7909666-5561666)/245491567.658337</f>
        <v>0.009564483303425844</v>
      </c>
      <c r="C765" s="121" t="s">
        <v>306</v>
      </c>
      <c r="D765" s="120" t="s">
        <v>23</v>
      </c>
      <c r="I765" s="169">
        <f>B765*12</f>
        <v>0.11477379964111012</v>
      </c>
    </row>
    <row r="766" spans="1:9" ht="12.75">
      <c r="A766" s="10"/>
      <c r="B766" s="122">
        <f>(7909666-5614331)/239877237</f>
        <v>0.009568790389227304</v>
      </c>
      <c r="C766" s="121" t="s">
        <v>306</v>
      </c>
      <c r="D766" s="120" t="s">
        <v>24</v>
      </c>
      <c r="I766" s="169">
        <f>B766*12</f>
        <v>0.11482548467072765</v>
      </c>
    </row>
    <row r="767" spans="1:2" ht="12.75">
      <c r="A767" s="2" t="s">
        <v>610</v>
      </c>
      <c r="B767" s="176"/>
    </row>
    <row r="768" spans="2:9" ht="12.75">
      <c r="B768" s="176" t="s">
        <v>25</v>
      </c>
      <c r="D768" t="s">
        <v>26</v>
      </c>
      <c r="I768" s="168" t="s">
        <v>694</v>
      </c>
    </row>
    <row r="769" spans="2:9" ht="12.75">
      <c r="B769" s="122">
        <f>(7400000-5508432.34166299)/251000000</f>
        <v>0.007536126128832709</v>
      </c>
      <c r="C769" s="121" t="s">
        <v>306</v>
      </c>
      <c r="D769" s="120" t="s">
        <v>358</v>
      </c>
      <c r="I769" s="169">
        <f>B769*12</f>
        <v>0.09043351354599251</v>
      </c>
    </row>
    <row r="770" spans="2:9" ht="12.75">
      <c r="B770" s="122">
        <f>(8400000-5561666)/245491567.658337</f>
        <v>0.011561839076893479</v>
      </c>
      <c r="C770" s="121" t="s">
        <v>306</v>
      </c>
      <c r="D770" s="120" t="s">
        <v>359</v>
      </c>
      <c r="I770" s="169">
        <f>B770*12</f>
        <v>0.13874206892272173</v>
      </c>
    </row>
    <row r="771" spans="2:9" ht="12.75">
      <c r="B771" s="122">
        <f>(9600000-5614331)/239877237</f>
        <v>0.016615453178660717</v>
      </c>
      <c r="C771" s="121" t="s">
        <v>306</v>
      </c>
      <c r="D771" s="120" t="s">
        <v>693</v>
      </c>
      <c r="I771" s="169">
        <f>B771*12</f>
        <v>0.19938543814392862</v>
      </c>
    </row>
    <row r="772" spans="2:9" ht="12.75">
      <c r="B772" s="122"/>
      <c r="C772" s="121"/>
      <c r="D772" s="120"/>
      <c r="I772" s="169"/>
    </row>
    <row r="773" ht="12.75">
      <c r="A773" t="s">
        <v>73</v>
      </c>
    </row>
    <row r="774" ht="13.5" thickBot="1"/>
    <row r="775" spans="3:9" ht="12.75">
      <c r="C775" t="s">
        <v>69</v>
      </c>
      <c r="D775" s="172" t="s">
        <v>68</v>
      </c>
      <c r="E775" s="30"/>
      <c r="F775" s="172" t="s">
        <v>70</v>
      </c>
      <c r="G775" s="30"/>
      <c r="H775" s="172" t="s">
        <v>71</v>
      </c>
      <c r="I775" s="30"/>
    </row>
    <row r="776" spans="4:9" ht="12.75">
      <c r="D776" s="173" t="s">
        <v>285</v>
      </c>
      <c r="E776" s="174" t="s">
        <v>285</v>
      </c>
      <c r="F776" s="173" t="s">
        <v>285</v>
      </c>
      <c r="G776" s="174" t="s">
        <v>285</v>
      </c>
      <c r="H776" s="173" t="s">
        <v>285</v>
      </c>
      <c r="I776" s="174" t="s">
        <v>285</v>
      </c>
    </row>
    <row r="777" spans="4:9" ht="12.75">
      <c r="D777" s="173" t="s">
        <v>286</v>
      </c>
      <c r="E777" s="174" t="s">
        <v>288</v>
      </c>
      <c r="F777" s="173" t="s">
        <v>286</v>
      </c>
      <c r="G777" s="174" t="s">
        <v>288</v>
      </c>
      <c r="H777" s="173" t="s">
        <v>286</v>
      </c>
      <c r="I777" s="174" t="s">
        <v>288</v>
      </c>
    </row>
    <row r="778" spans="4:9" ht="13.5" thickBot="1">
      <c r="D778" s="173" t="s">
        <v>287</v>
      </c>
      <c r="E778" s="174" t="s">
        <v>287</v>
      </c>
      <c r="F778" s="173" t="s">
        <v>287</v>
      </c>
      <c r="G778" s="174" t="s">
        <v>287</v>
      </c>
      <c r="H778" s="173" t="s">
        <v>287</v>
      </c>
      <c r="I778" s="174" t="s">
        <v>287</v>
      </c>
    </row>
    <row r="779" spans="1:9" ht="13.5" thickBot="1">
      <c r="A779" t="s">
        <v>66</v>
      </c>
      <c r="D779" s="180">
        <f>B752</f>
        <v>0.009566668926362048</v>
      </c>
      <c r="E779" s="180">
        <f>D752</f>
        <v>0.010192642323140605</v>
      </c>
      <c r="F779" s="180">
        <f>B752</f>
        <v>0.009566668926362048</v>
      </c>
      <c r="G779" s="180">
        <f>D752</f>
        <v>0.010192642323140605</v>
      </c>
      <c r="H779" s="180">
        <f>B752</f>
        <v>0.009566668926362048</v>
      </c>
      <c r="I779" s="180">
        <f>D752</f>
        <v>0.010192642323140605</v>
      </c>
    </row>
    <row r="780" spans="1:9" ht="13.5" thickBot="1">
      <c r="A780" t="s">
        <v>67</v>
      </c>
      <c r="D780" s="180">
        <f>B764</f>
        <v>0.007536126128832709</v>
      </c>
      <c r="E780" s="180">
        <f>B769</f>
        <v>0.007536126128832709</v>
      </c>
      <c r="F780" s="180">
        <f>B765</f>
        <v>0.009564483303425844</v>
      </c>
      <c r="G780" s="180">
        <f>B770</f>
        <v>0.011561839076893479</v>
      </c>
      <c r="H780" s="180">
        <f>B766</f>
        <v>0.009568790389227304</v>
      </c>
      <c r="I780" s="180">
        <f>B771</f>
        <v>0.016615453178660717</v>
      </c>
    </row>
    <row r="781" spans="4:9" ht="13.5" thickBot="1">
      <c r="D781" s="60"/>
      <c r="E781" s="60"/>
      <c r="F781" s="60"/>
      <c r="G781" s="60"/>
      <c r="H781" s="60"/>
      <c r="I781" s="60"/>
    </row>
    <row r="782" spans="1:9" ht="13.5" thickBot="1">
      <c r="A782" t="s">
        <v>72</v>
      </c>
      <c r="D782" s="175">
        <f>7909666/4000</f>
        <v>1977.4165</v>
      </c>
      <c r="E782" s="175"/>
      <c r="F782" s="175">
        <f>D782</f>
        <v>1977.4165</v>
      </c>
      <c r="G782" s="175"/>
      <c r="H782" s="175">
        <f>D782</f>
        <v>1977.4165</v>
      </c>
      <c r="I782" s="175"/>
    </row>
    <row r="783" spans="2:9" ht="12.75">
      <c r="B783" s="10" t="s">
        <v>133</v>
      </c>
      <c r="D783" s="60"/>
      <c r="E783" s="60"/>
      <c r="F783" s="60"/>
      <c r="G783" s="60"/>
      <c r="H783" s="60"/>
      <c r="I783" s="60"/>
    </row>
    <row r="784" spans="2:9" ht="12.75">
      <c r="B784" s="10" t="s">
        <v>315</v>
      </c>
      <c r="D784" s="60"/>
      <c r="E784" s="60"/>
      <c r="F784" s="60"/>
      <c r="G784" s="60"/>
      <c r="H784" s="60"/>
      <c r="I784" s="60"/>
    </row>
    <row r="785" spans="2:9" ht="12.75">
      <c r="B785" s="10" t="s">
        <v>615</v>
      </c>
      <c r="D785" s="60"/>
      <c r="E785" s="60"/>
      <c r="F785" s="60"/>
      <c r="G785" s="60"/>
      <c r="H785" s="60"/>
      <c r="I785" s="60"/>
    </row>
    <row r="786" spans="4:9" ht="12.75">
      <c r="D786" s="60"/>
      <c r="E786" s="60"/>
      <c r="F786" s="60"/>
      <c r="G786" s="60"/>
      <c r="H786" s="60"/>
      <c r="I786" s="60"/>
    </row>
    <row r="787" spans="1:5" ht="12.75">
      <c r="A787" s="6" t="s">
        <v>291</v>
      </c>
      <c r="B787" s="6"/>
      <c r="C787" s="6"/>
      <c r="D787" s="6"/>
      <c r="E787" s="6"/>
    </row>
    <row r="788" spans="1:5" ht="12.75">
      <c r="A788" s="6" t="s">
        <v>622</v>
      </c>
      <c r="B788" s="6"/>
      <c r="C788" s="6"/>
      <c r="D788" s="6"/>
      <c r="E788" s="6"/>
    </row>
    <row r="789" spans="1:5" ht="12.75">
      <c r="A789" s="6" t="s">
        <v>698</v>
      </c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 t="s">
        <v>695</v>
      </c>
      <c r="B791" s="6"/>
      <c r="C791" s="6"/>
      <c r="D791" s="6"/>
      <c r="E791" s="6"/>
    </row>
    <row r="792" ht="12.75">
      <c r="A792" s="6" t="s">
        <v>696</v>
      </c>
    </row>
    <row r="794" ht="15.75">
      <c r="A794" s="3" t="s">
        <v>299</v>
      </c>
    </row>
    <row r="795" ht="12.75">
      <c r="A795" t="s">
        <v>462</v>
      </c>
    </row>
    <row r="796" ht="12.75">
      <c r="A796" t="s">
        <v>630</v>
      </c>
    </row>
    <row r="797" ht="12.75">
      <c r="A797" t="s">
        <v>300</v>
      </c>
    </row>
    <row r="798" ht="12.75">
      <c r="A798" t="s">
        <v>301</v>
      </c>
    </row>
    <row r="799" ht="12.75">
      <c r="A799" t="s">
        <v>447</v>
      </c>
    </row>
    <row r="800" ht="12.75">
      <c r="A800" t="s">
        <v>448</v>
      </c>
    </row>
    <row r="801" ht="12.75">
      <c r="A801" t="s">
        <v>449</v>
      </c>
    </row>
    <row r="802" ht="12.75">
      <c r="A802" t="s">
        <v>616</v>
      </c>
    </row>
    <row r="804" ht="12.75">
      <c r="A804" t="s">
        <v>323</v>
      </c>
    </row>
    <row r="805" ht="12.75">
      <c r="A805" t="s">
        <v>322</v>
      </c>
    </row>
    <row r="806" ht="12.75">
      <c r="A806" t="s">
        <v>321</v>
      </c>
    </row>
    <row r="808" spans="1:9" ht="12.75" customHeight="1">
      <c r="A808" s="222" t="s">
        <v>463</v>
      </c>
      <c r="B808" s="223"/>
      <c r="C808" s="223"/>
      <c r="D808" s="223"/>
      <c r="E808" s="223"/>
      <c r="F808" s="223"/>
      <c r="G808" s="223"/>
      <c r="H808" s="223"/>
      <c r="I808" s="223"/>
    </row>
    <row r="809" ht="12.75">
      <c r="A809" t="s">
        <v>464</v>
      </c>
    </row>
    <row r="810" ht="12.75">
      <c r="A810" t="s">
        <v>465</v>
      </c>
    </row>
    <row r="811" ht="12.75">
      <c r="A811" t="s">
        <v>653</v>
      </c>
    </row>
    <row r="813" ht="12.75">
      <c r="A813" t="s">
        <v>654</v>
      </c>
    </row>
    <row r="814" ht="12.75">
      <c r="A814" t="s">
        <v>617</v>
      </c>
    </row>
    <row r="815" ht="12.75">
      <c r="A815" t="s">
        <v>618</v>
      </c>
    </row>
    <row r="817" ht="12.75" customHeight="1">
      <c r="A817" t="s">
        <v>547</v>
      </c>
    </row>
    <row r="818" ht="12.75" customHeight="1"/>
    <row r="819" ht="12.75" customHeight="1">
      <c r="A819" t="s">
        <v>364</v>
      </c>
    </row>
    <row r="820" ht="12.75" customHeight="1">
      <c r="A820" t="s">
        <v>365</v>
      </c>
    </row>
    <row r="821" ht="12.75" customHeight="1">
      <c r="A821" t="s">
        <v>619</v>
      </c>
    </row>
    <row r="822" ht="12.75" customHeight="1">
      <c r="A822" t="s">
        <v>620</v>
      </c>
    </row>
    <row r="823" ht="12.75" customHeight="1">
      <c r="A823" t="s">
        <v>366</v>
      </c>
    </row>
    <row r="825" ht="12.75">
      <c r="A825" s="2" t="s">
        <v>560</v>
      </c>
    </row>
    <row r="827" ht="12.75">
      <c r="A827" s="95" t="s">
        <v>607</v>
      </c>
    </row>
    <row r="828" ht="13.5" thickBot="1"/>
    <row r="829" spans="1:8" ht="12.75" customHeight="1" thickTop="1">
      <c r="A829" s="18" t="s">
        <v>668</v>
      </c>
      <c r="B829" s="19" t="s">
        <v>215</v>
      </c>
      <c r="C829" s="125" t="s">
        <v>575</v>
      </c>
      <c r="D829" s="19"/>
      <c r="E829" s="19"/>
      <c r="F829" s="20"/>
      <c r="G829" s="25"/>
      <c r="H829" s="39"/>
    </row>
    <row r="830" spans="1:9" ht="12.75" customHeight="1" thickBot="1">
      <c r="A830" s="28" t="s">
        <v>671</v>
      </c>
      <c r="B830" s="16"/>
      <c r="C830" s="124" t="s">
        <v>573</v>
      </c>
      <c r="D830" s="16"/>
      <c r="E830" s="16"/>
      <c r="F830" s="17"/>
      <c r="G830" s="28" t="s">
        <v>669</v>
      </c>
      <c r="H830" s="99" t="s">
        <v>670</v>
      </c>
      <c r="I830" s="11" t="s">
        <v>683</v>
      </c>
    </row>
    <row r="831" spans="1:9" ht="12.75" customHeight="1">
      <c r="A831" s="36" t="s">
        <v>680</v>
      </c>
      <c r="B831" s="91" t="s">
        <v>266</v>
      </c>
      <c r="C831" s="49"/>
      <c r="D831" s="49"/>
      <c r="E831" s="49"/>
      <c r="F831" s="50"/>
      <c r="G831" s="105">
        <v>251000000</v>
      </c>
      <c r="H831" s="105">
        <v>0</v>
      </c>
      <c r="I831" s="52">
        <f>G831-H831</f>
        <v>251000000</v>
      </c>
    </row>
    <row r="832" spans="1:9" ht="12.75" customHeight="1">
      <c r="A832" s="37"/>
      <c r="B832" s="92"/>
      <c r="C832" s="60" t="s">
        <v>672</v>
      </c>
      <c r="D832" s="60"/>
      <c r="E832" s="60"/>
      <c r="F832" s="82"/>
      <c r="G832" s="106">
        <v>0</v>
      </c>
      <c r="H832" s="106">
        <f>G831</f>
        <v>251000000</v>
      </c>
      <c r="I832" s="52">
        <f>G832-H832</f>
        <v>-251000000</v>
      </c>
    </row>
    <row r="833" spans="1:9" ht="12.75" customHeight="1">
      <c r="A833" s="37"/>
      <c r="B833" s="93" t="s">
        <v>267</v>
      </c>
      <c r="C833" s="60"/>
      <c r="D833" s="60"/>
      <c r="E833" s="60"/>
      <c r="F833" s="82"/>
      <c r="G833" s="51"/>
      <c r="H833" s="51"/>
      <c r="I833" s="52"/>
    </row>
    <row r="834" spans="1:9" ht="12.75" customHeight="1">
      <c r="A834" s="37"/>
      <c r="B834" s="93"/>
      <c r="C834" s="60"/>
      <c r="D834" s="60"/>
      <c r="E834" s="60"/>
      <c r="F834" s="82"/>
      <c r="G834" s="51"/>
      <c r="H834" s="51"/>
      <c r="I834" s="52"/>
    </row>
    <row r="835" spans="1:9" ht="12.75" customHeight="1">
      <c r="A835" s="37" t="s">
        <v>680</v>
      </c>
      <c r="B835" s="94" t="s">
        <v>310</v>
      </c>
      <c r="C835" s="60"/>
      <c r="D835" s="60"/>
      <c r="E835" s="60"/>
      <c r="F835" s="82"/>
      <c r="G835" s="51" t="s">
        <v>215</v>
      </c>
      <c r="H835" s="51" t="s">
        <v>215</v>
      </c>
      <c r="I835" s="52" t="s">
        <v>215</v>
      </c>
    </row>
    <row r="836" spans="1:9" ht="12.75" customHeight="1">
      <c r="A836" s="26"/>
      <c r="B836" s="94"/>
      <c r="C836" s="31" t="s">
        <v>310</v>
      </c>
      <c r="D836" s="31"/>
      <c r="E836" s="31"/>
      <c r="F836" s="54"/>
      <c r="G836" s="51" t="s">
        <v>215</v>
      </c>
      <c r="H836" s="51" t="s">
        <v>311</v>
      </c>
      <c r="I836" s="52" t="s">
        <v>215</v>
      </c>
    </row>
    <row r="837" spans="1:9" ht="12.75" customHeight="1">
      <c r="A837" s="26"/>
      <c r="B837" s="123" t="s">
        <v>313</v>
      </c>
      <c r="C837" s="31"/>
      <c r="D837" s="31"/>
      <c r="E837" s="31"/>
      <c r="F837" s="54"/>
      <c r="G837" s="55"/>
      <c r="H837" s="55"/>
      <c r="I837" s="52"/>
    </row>
    <row r="838" spans="1:9" ht="12.75" customHeight="1">
      <c r="A838" s="37"/>
      <c r="B838" s="92"/>
      <c r="C838" s="60"/>
      <c r="D838" s="60"/>
      <c r="E838" s="60"/>
      <c r="F838" s="82"/>
      <c r="G838" s="51"/>
      <c r="H838" s="51"/>
      <c r="I838" s="52"/>
    </row>
    <row r="839" spans="1:9" s="10" customFormat="1" ht="12.75" customHeight="1">
      <c r="A839" s="37" t="s">
        <v>681</v>
      </c>
      <c r="B839" s="92" t="s">
        <v>672</v>
      </c>
      <c r="C839" s="53"/>
      <c r="D839" s="53"/>
      <c r="E839" s="53"/>
      <c r="F839" s="54"/>
      <c r="G839" s="84">
        <f>1850*4000</f>
        <v>7400000</v>
      </c>
      <c r="H839" s="51">
        <v>0</v>
      </c>
      <c r="I839" s="52">
        <f>G839-H839+I832</f>
        <v>-243600000</v>
      </c>
    </row>
    <row r="840" spans="1:9" s="10" customFormat="1" ht="12.75" customHeight="1">
      <c r="A840" s="38"/>
      <c r="B840" s="92"/>
      <c r="C840" s="53" t="s">
        <v>268</v>
      </c>
      <c r="D840" s="53"/>
      <c r="E840" s="53"/>
      <c r="F840" s="54"/>
      <c r="G840" s="51">
        <v>0</v>
      </c>
      <c r="H840" s="85">
        <f>G839</f>
        <v>7400000</v>
      </c>
      <c r="I840" s="52">
        <f>G840-H840</f>
        <v>-7400000</v>
      </c>
    </row>
    <row r="841" spans="1:9" s="10" customFormat="1" ht="12.75" customHeight="1">
      <c r="A841" s="38"/>
      <c r="B841" s="93" t="s">
        <v>295</v>
      </c>
      <c r="C841" s="53"/>
      <c r="D841" s="53"/>
      <c r="E841" s="53"/>
      <c r="F841" s="54"/>
      <c r="G841" s="55"/>
      <c r="H841" s="55"/>
      <c r="I841" s="52"/>
    </row>
    <row r="842" spans="1:9" s="10" customFormat="1" ht="12.75" customHeight="1">
      <c r="A842" s="38"/>
      <c r="B842" s="93"/>
      <c r="C842" s="53"/>
      <c r="D842" s="53"/>
      <c r="E842" s="53"/>
      <c r="F842" s="54"/>
      <c r="G842" s="55"/>
      <c r="H842" s="55"/>
      <c r="I842" s="52"/>
    </row>
    <row r="843" spans="1:9" ht="12.75" customHeight="1">
      <c r="A843" s="37" t="s">
        <v>680</v>
      </c>
      <c r="B843" s="94" t="s">
        <v>312</v>
      </c>
      <c r="C843" s="60"/>
      <c r="D843" s="60"/>
      <c r="E843" s="60"/>
      <c r="F843" s="82"/>
      <c r="G843" s="51" t="s">
        <v>215</v>
      </c>
      <c r="H843" s="51" t="s">
        <v>215</v>
      </c>
      <c r="I843" s="52" t="s">
        <v>215</v>
      </c>
    </row>
    <row r="844" spans="1:9" ht="12.75" customHeight="1">
      <c r="A844" s="26"/>
      <c r="B844" s="94"/>
      <c r="C844" s="31" t="s">
        <v>312</v>
      </c>
      <c r="D844" s="31"/>
      <c r="E844" s="31"/>
      <c r="F844" s="54"/>
      <c r="G844" s="51" t="s">
        <v>215</v>
      </c>
      <c r="H844" s="51" t="s">
        <v>311</v>
      </c>
      <c r="I844" s="52" t="s">
        <v>215</v>
      </c>
    </row>
    <row r="845" spans="1:9" ht="12.75" customHeight="1">
      <c r="A845" s="26"/>
      <c r="B845" s="123" t="s">
        <v>313</v>
      </c>
      <c r="C845" s="31"/>
      <c r="D845" s="31"/>
      <c r="E845" s="31"/>
      <c r="F845" s="54"/>
      <c r="G845" s="55"/>
      <c r="H845" s="55"/>
      <c r="I845" s="52"/>
    </row>
    <row r="846" spans="1:9" s="10" customFormat="1" ht="12.75" customHeight="1">
      <c r="A846" s="38"/>
      <c r="B846" s="93"/>
      <c r="C846" s="53"/>
      <c r="D846" s="53"/>
      <c r="E846" s="53"/>
      <c r="F846" s="54"/>
      <c r="G846" s="55"/>
      <c r="H846" s="55"/>
      <c r="I846" s="52"/>
    </row>
    <row r="847" spans="1:9" s="10" customFormat="1" ht="12.75" customHeight="1">
      <c r="A847" s="37" t="s">
        <v>681</v>
      </c>
      <c r="B847" s="92" t="s">
        <v>268</v>
      </c>
      <c r="C847" s="53"/>
      <c r="D847" s="53"/>
      <c r="E847" s="53"/>
      <c r="F847" s="54"/>
      <c r="G847" s="84">
        <f>-I840</f>
        <v>7400000</v>
      </c>
      <c r="H847" s="84">
        <v>0</v>
      </c>
      <c r="I847" s="52">
        <f>G847-H847+I840</f>
        <v>0</v>
      </c>
    </row>
    <row r="848" spans="1:9" s="10" customFormat="1" ht="12.75" customHeight="1">
      <c r="A848" s="38"/>
      <c r="B848" s="94"/>
      <c r="C848" s="53" t="s">
        <v>269</v>
      </c>
      <c r="D848" s="53"/>
      <c r="E848" s="53"/>
      <c r="F848" s="54"/>
      <c r="G848" s="84">
        <v>0</v>
      </c>
      <c r="H848" s="84">
        <v>2401233.333333333</v>
      </c>
      <c r="I848" s="52">
        <f>G848-H848</f>
        <v>-2401233.333333333</v>
      </c>
    </row>
    <row r="849" spans="1:9" s="10" customFormat="1" ht="12.75" customHeight="1">
      <c r="A849" s="38"/>
      <c r="B849" s="94"/>
      <c r="C849" s="53" t="s">
        <v>271</v>
      </c>
      <c r="D849" s="53"/>
      <c r="E849" s="53"/>
      <c r="F849" s="54"/>
      <c r="G849" s="84">
        <v>0</v>
      </c>
      <c r="H849" s="84">
        <v>5508432.341662991</v>
      </c>
      <c r="I849" s="52">
        <f>G849-H849+I831</f>
        <v>245491567.658337</v>
      </c>
    </row>
    <row r="850" spans="1:9" s="10" customFormat="1" ht="12.75" customHeight="1">
      <c r="A850" s="38"/>
      <c r="B850" s="94"/>
      <c r="C850" s="53" t="s">
        <v>555</v>
      </c>
      <c r="D850" s="53"/>
      <c r="E850" s="53"/>
      <c r="F850" s="54"/>
      <c r="G850" s="84">
        <f>SUM(H847:H849)-SUM(G847:G849)</f>
        <v>509665.6749963239</v>
      </c>
      <c r="H850" s="84">
        <v>0</v>
      </c>
      <c r="I850" s="52">
        <f>G850-H850</f>
        <v>509665.6749963239</v>
      </c>
    </row>
    <row r="851" spans="1:9" s="10" customFormat="1" ht="12.75" customHeight="1">
      <c r="A851" s="38"/>
      <c r="B851" s="92"/>
      <c r="C851" s="53" t="s">
        <v>672</v>
      </c>
      <c r="D851" s="53"/>
      <c r="E851" s="53"/>
      <c r="F851" s="54"/>
      <c r="G851" s="84">
        <v>0</v>
      </c>
      <c r="H851" s="84">
        <v>0</v>
      </c>
      <c r="I851" s="52">
        <f>G851-H851+I839</f>
        <v>-243600000</v>
      </c>
    </row>
    <row r="852" spans="1:9" s="10" customFormat="1" ht="12.75" customHeight="1">
      <c r="A852" s="38"/>
      <c r="B852" s="93" t="s">
        <v>274</v>
      </c>
      <c r="C852" s="53"/>
      <c r="D852" s="53"/>
      <c r="E852" s="53"/>
      <c r="F852" s="54"/>
      <c r="G852" s="84" t="s">
        <v>215</v>
      </c>
      <c r="H852" s="84" t="s">
        <v>215</v>
      </c>
      <c r="I852" s="52"/>
    </row>
    <row r="853" spans="1:9" s="10" customFormat="1" ht="12.75" customHeight="1">
      <c r="A853" s="38"/>
      <c r="B853" s="92"/>
      <c r="C853" s="53"/>
      <c r="D853" s="53"/>
      <c r="E853" s="53"/>
      <c r="F853" s="54"/>
      <c r="G853" s="84" t="s">
        <v>215</v>
      </c>
      <c r="H853" s="84"/>
      <c r="I853" s="52"/>
    </row>
    <row r="854" spans="1:9" ht="12.75" customHeight="1">
      <c r="A854" s="37" t="s">
        <v>681</v>
      </c>
      <c r="B854" s="92" t="s">
        <v>269</v>
      </c>
      <c r="C854" s="53"/>
      <c r="D854" s="53"/>
      <c r="E854" s="53"/>
      <c r="F854" s="54"/>
      <c r="G854" s="84">
        <f>-I848</f>
        <v>2401233.333333333</v>
      </c>
      <c r="H854" s="51">
        <v>0</v>
      </c>
      <c r="I854" s="52">
        <f>G854-H854+I848</f>
        <v>0</v>
      </c>
    </row>
    <row r="855" spans="1:9" ht="12.75" customHeight="1">
      <c r="A855" s="37"/>
      <c r="B855" s="92"/>
      <c r="C855" s="53" t="s">
        <v>555</v>
      </c>
      <c r="D855" s="53"/>
      <c r="E855" s="53"/>
      <c r="F855" s="54"/>
      <c r="G855" s="51">
        <v>0</v>
      </c>
      <c r="H855" s="84">
        <f>I850</f>
        <v>509665.6749963239</v>
      </c>
      <c r="I855" s="52">
        <f>G855-H855+I850</f>
        <v>0</v>
      </c>
    </row>
    <row r="856" spans="1:9" ht="12.75" customHeight="1">
      <c r="A856" s="26"/>
      <c r="B856" s="93"/>
      <c r="C856" s="53" t="s">
        <v>679</v>
      </c>
      <c r="D856" s="53"/>
      <c r="E856" s="53"/>
      <c r="F856" s="54"/>
      <c r="G856" s="51">
        <v>0</v>
      </c>
      <c r="H856" s="84">
        <f>G854-H854+G856-H855</f>
        <v>1891567.6583370091</v>
      </c>
      <c r="I856" s="52">
        <f>G856-H856</f>
        <v>-1891567.6583370091</v>
      </c>
    </row>
    <row r="857" spans="1:9" ht="12.75" customHeight="1">
      <c r="A857" s="26"/>
      <c r="B857" s="93" t="s">
        <v>643</v>
      </c>
      <c r="C857" s="53"/>
      <c r="D857" s="53"/>
      <c r="E857" s="53"/>
      <c r="F857" s="54"/>
      <c r="G857" s="55"/>
      <c r="H857" s="55"/>
      <c r="I857" s="52"/>
    </row>
    <row r="858" spans="1:9" ht="12.75" customHeight="1" thickBot="1">
      <c r="A858" s="35"/>
      <c r="B858" s="113"/>
      <c r="C858" s="114"/>
      <c r="D858" s="114"/>
      <c r="E858" s="114"/>
      <c r="F858" s="115"/>
      <c r="G858" s="116"/>
      <c r="H858" s="116"/>
      <c r="I858" s="117"/>
    </row>
    <row r="859" spans="1:9" ht="12.75" customHeight="1">
      <c r="A859" s="26"/>
      <c r="B859" s="93"/>
      <c r="C859" s="53"/>
      <c r="D859" s="53"/>
      <c r="E859" s="53"/>
      <c r="F859" s="54"/>
      <c r="G859" s="55"/>
      <c r="H859" s="55"/>
      <c r="I859" s="52"/>
    </row>
    <row r="860" spans="1:9" s="10" customFormat="1" ht="12.75" customHeight="1">
      <c r="A860" s="37" t="s">
        <v>682</v>
      </c>
      <c r="B860" s="92" t="s">
        <v>672</v>
      </c>
      <c r="C860" s="53"/>
      <c r="D860" s="53"/>
      <c r="E860" s="53"/>
      <c r="F860" s="54"/>
      <c r="G860" s="84">
        <f>2100*4000</f>
        <v>8400000</v>
      </c>
      <c r="H860" s="51">
        <v>0</v>
      </c>
      <c r="I860" s="52">
        <f>G860-H860+I851</f>
        <v>-235200000</v>
      </c>
    </row>
    <row r="861" spans="1:9" s="10" customFormat="1" ht="12.75" customHeight="1">
      <c r="A861" s="38"/>
      <c r="B861" s="92"/>
      <c r="C861" s="53" t="s">
        <v>268</v>
      </c>
      <c r="D861" s="53"/>
      <c r="E861" s="53"/>
      <c r="F861" s="54"/>
      <c r="G861" s="84">
        <v>0</v>
      </c>
      <c r="H861" s="84">
        <f>G860</f>
        <v>8400000</v>
      </c>
      <c r="I861" s="52">
        <f>G861-H861</f>
        <v>-8400000</v>
      </c>
    </row>
    <row r="862" spans="1:9" s="10" customFormat="1" ht="12.75" customHeight="1">
      <c r="A862" s="38"/>
      <c r="B862" s="93" t="s">
        <v>295</v>
      </c>
      <c r="C862" s="53"/>
      <c r="D862" s="53"/>
      <c r="E862" s="53"/>
      <c r="F862" s="54"/>
      <c r="G862" s="84"/>
      <c r="H862" s="84"/>
      <c r="I862" s="112"/>
    </row>
    <row r="863" spans="1:9" s="10" customFormat="1" ht="12.75" customHeight="1">
      <c r="A863" s="38"/>
      <c r="B863" s="93"/>
      <c r="C863" s="53"/>
      <c r="D863" s="53"/>
      <c r="E863" s="53"/>
      <c r="F863" s="54"/>
      <c r="G863" s="84"/>
      <c r="H863" s="84"/>
      <c r="I863" s="112"/>
    </row>
    <row r="864" spans="1:9" ht="12.75" customHeight="1">
      <c r="A864" s="37" t="s">
        <v>682</v>
      </c>
      <c r="B864" s="94" t="s">
        <v>312</v>
      </c>
      <c r="C864" s="60"/>
      <c r="D864" s="60"/>
      <c r="E864" s="60"/>
      <c r="F864" s="82"/>
      <c r="G864" s="51" t="s">
        <v>215</v>
      </c>
      <c r="H864" s="51" t="s">
        <v>215</v>
      </c>
      <c r="I864" s="52" t="s">
        <v>215</v>
      </c>
    </row>
    <row r="865" spans="1:9" ht="12.75" customHeight="1">
      <c r="A865" s="26"/>
      <c r="B865" s="94"/>
      <c r="C865" s="31" t="s">
        <v>312</v>
      </c>
      <c r="D865" s="31"/>
      <c r="E865" s="31"/>
      <c r="F865" s="54"/>
      <c r="G865" s="51" t="s">
        <v>215</v>
      </c>
      <c r="H865" s="51" t="s">
        <v>311</v>
      </c>
      <c r="I865" s="52" t="s">
        <v>215</v>
      </c>
    </row>
    <row r="866" spans="1:9" ht="12.75" customHeight="1">
      <c r="A866" s="26"/>
      <c r="B866" s="123" t="s">
        <v>313</v>
      </c>
      <c r="C866" s="31"/>
      <c r="D866" s="31"/>
      <c r="E866" s="31"/>
      <c r="F866" s="54"/>
      <c r="G866" s="55"/>
      <c r="H866" s="55"/>
      <c r="I866" s="52"/>
    </row>
    <row r="867" spans="1:9" s="10" customFormat="1" ht="12.75" customHeight="1">
      <c r="A867" s="38"/>
      <c r="B867" s="93"/>
      <c r="C867" s="53"/>
      <c r="D867" s="53"/>
      <c r="E867" s="53"/>
      <c r="F867" s="54"/>
      <c r="G867" s="84"/>
      <c r="H867" s="84"/>
      <c r="I867" s="112"/>
    </row>
    <row r="868" spans="1:9" s="10" customFormat="1" ht="12.75" customHeight="1">
      <c r="A868" s="37" t="s">
        <v>682</v>
      </c>
      <c r="B868" s="92" t="s">
        <v>268</v>
      </c>
      <c r="C868" s="53"/>
      <c r="D868" s="53"/>
      <c r="E868" s="53"/>
      <c r="F868" s="54"/>
      <c r="G868" s="84">
        <f>-I861</f>
        <v>8400000</v>
      </c>
      <c r="H868" s="84">
        <v>0</v>
      </c>
      <c r="I868" s="52">
        <f>G868-H868+I861</f>
        <v>0</v>
      </c>
    </row>
    <row r="869" spans="1:9" s="10" customFormat="1" ht="12.75" customHeight="1">
      <c r="A869" s="38"/>
      <c r="B869" s="94"/>
      <c r="C869" s="53" t="s">
        <v>269</v>
      </c>
      <c r="D869" s="53"/>
      <c r="E869" s="53"/>
      <c r="F869" s="54"/>
      <c r="G869" s="84">
        <v>0</v>
      </c>
      <c r="H869" s="84">
        <v>2348536</v>
      </c>
      <c r="I869" s="112">
        <f>G869-H869</f>
        <v>-2348536</v>
      </c>
    </row>
    <row r="870" spans="1:9" s="10" customFormat="1" ht="12.75" customHeight="1">
      <c r="A870" s="38"/>
      <c r="B870" s="94"/>
      <c r="C870" s="53" t="s">
        <v>271</v>
      </c>
      <c r="D870" s="53"/>
      <c r="E870" s="53"/>
      <c r="F870" s="54"/>
      <c r="G870" s="84">
        <v>0</v>
      </c>
      <c r="H870" s="84">
        <v>5561130</v>
      </c>
      <c r="I870" s="112">
        <f>G870-H870+I849</f>
        <v>239930437.658337</v>
      </c>
    </row>
    <row r="871" spans="1:9" s="10" customFormat="1" ht="12.75" customHeight="1">
      <c r="A871" s="38"/>
      <c r="B871" s="94"/>
      <c r="C871" s="53" t="s">
        <v>555</v>
      </c>
      <c r="D871" s="53"/>
      <c r="E871" s="53"/>
      <c r="F871" s="54"/>
      <c r="G871" s="84">
        <v>0</v>
      </c>
      <c r="H871" s="84">
        <v>0</v>
      </c>
      <c r="I871" s="52">
        <f>G871-H871</f>
        <v>0</v>
      </c>
    </row>
    <row r="872" spans="1:9" s="10" customFormat="1" ht="12.75" customHeight="1">
      <c r="A872" s="38"/>
      <c r="B872" s="92"/>
      <c r="C872" s="53" t="s">
        <v>672</v>
      </c>
      <c r="D872" s="53"/>
      <c r="E872" s="53"/>
      <c r="F872" s="54"/>
      <c r="G872" s="84">
        <v>0</v>
      </c>
      <c r="H872" s="84">
        <f>(G868-H868+G869-H869+G870-H870)</f>
        <v>490334</v>
      </c>
      <c r="I872" s="112">
        <f>G872-H872+I851</f>
        <v>-244090334</v>
      </c>
    </row>
    <row r="873" spans="1:9" s="10" customFormat="1" ht="12.75" customHeight="1">
      <c r="A873" s="38"/>
      <c r="B873" s="93" t="s">
        <v>274</v>
      </c>
      <c r="C873" s="53"/>
      <c r="D873" s="53"/>
      <c r="E873" s="53"/>
      <c r="F873" s="54"/>
      <c r="G873" s="84"/>
      <c r="H873" s="84" t="s">
        <v>215</v>
      </c>
      <c r="I873" s="112"/>
    </row>
    <row r="874" spans="1:9" s="10" customFormat="1" ht="12.75" customHeight="1">
      <c r="A874" s="38"/>
      <c r="B874" s="93"/>
      <c r="C874" s="53"/>
      <c r="D874" s="53"/>
      <c r="E874" s="53"/>
      <c r="F874" s="54"/>
      <c r="G874" s="84"/>
      <c r="H874" s="84"/>
      <c r="I874" s="112"/>
    </row>
    <row r="875" spans="1:9" ht="12.75" customHeight="1">
      <c r="A875" s="37" t="s">
        <v>682</v>
      </c>
      <c r="B875" s="92" t="s">
        <v>269</v>
      </c>
      <c r="C875" s="53"/>
      <c r="D875" s="53"/>
      <c r="E875" s="53"/>
      <c r="F875" s="54"/>
      <c r="G875" s="84">
        <f>-I869</f>
        <v>2348536</v>
      </c>
      <c r="H875" s="84">
        <v>0</v>
      </c>
      <c r="I875" s="112">
        <f>G875+H875+I869</f>
        <v>0</v>
      </c>
    </row>
    <row r="876" spans="1:9" ht="12.75" customHeight="1">
      <c r="A876" s="37"/>
      <c r="B876" s="92"/>
      <c r="C876" s="53" t="s">
        <v>555</v>
      </c>
      <c r="D876" s="53"/>
      <c r="E876" s="53"/>
      <c r="F876" s="54"/>
      <c r="G876" s="84">
        <v>0</v>
      </c>
      <c r="H876" s="85">
        <f>-I871</f>
        <v>0</v>
      </c>
      <c r="I876" s="52">
        <f>G876-H876+I871</f>
        <v>0</v>
      </c>
    </row>
    <row r="877" spans="1:9" ht="12.75" customHeight="1">
      <c r="A877" s="26"/>
      <c r="B877" s="93"/>
      <c r="C877" s="53" t="s">
        <v>679</v>
      </c>
      <c r="D877" s="53"/>
      <c r="E877" s="53"/>
      <c r="F877" s="54"/>
      <c r="G877" s="84">
        <v>0</v>
      </c>
      <c r="H877" s="84">
        <f>G875-H875+G877-H876</f>
        <v>2348536</v>
      </c>
      <c r="I877" s="112">
        <f>G877-H877+I856</f>
        <v>-4240103.658337009</v>
      </c>
    </row>
    <row r="878" spans="1:9" ht="12.75" customHeight="1">
      <c r="A878" s="26"/>
      <c r="B878" s="93" t="s">
        <v>643</v>
      </c>
      <c r="C878" s="53"/>
      <c r="D878" s="53"/>
      <c r="E878" s="53"/>
      <c r="F878" s="54"/>
      <c r="G878" s="84"/>
      <c r="H878" s="84"/>
      <c r="I878" s="112"/>
    </row>
    <row r="879" spans="1:9" ht="12.75" customHeight="1" thickBot="1">
      <c r="A879" s="35"/>
      <c r="B879" s="113"/>
      <c r="C879" s="114"/>
      <c r="D879" s="114"/>
      <c r="E879" s="114"/>
      <c r="F879" s="115"/>
      <c r="G879" s="118"/>
      <c r="H879" s="118"/>
      <c r="I879" s="119"/>
    </row>
    <row r="880" spans="1:9" ht="12.75" customHeight="1">
      <c r="A880" s="26"/>
      <c r="B880" s="93"/>
      <c r="C880" s="53"/>
      <c r="D880" s="53"/>
      <c r="E880" s="53"/>
      <c r="F880" s="54"/>
      <c r="G880" s="84"/>
      <c r="H880" s="84"/>
      <c r="I880" s="112"/>
    </row>
    <row r="881" spans="1:9" s="10" customFormat="1" ht="12.75" customHeight="1">
      <c r="A881" s="37" t="s">
        <v>684</v>
      </c>
      <c r="B881" s="92" t="s">
        <v>672</v>
      </c>
      <c r="C881" s="53"/>
      <c r="D881" s="53"/>
      <c r="E881" s="53"/>
      <c r="F881" s="54"/>
      <c r="G881" s="84">
        <f>2400*4000</f>
        <v>9600000</v>
      </c>
      <c r="H881" s="51">
        <v>0</v>
      </c>
      <c r="I881" s="52">
        <f>G881-H881+I872</f>
        <v>-234490334</v>
      </c>
    </row>
    <row r="882" spans="1:9" s="10" customFormat="1" ht="12.75" customHeight="1">
      <c r="A882" s="38"/>
      <c r="B882" s="92"/>
      <c r="C882" s="53" t="s">
        <v>268</v>
      </c>
      <c r="D882" s="53"/>
      <c r="E882" s="53"/>
      <c r="F882" s="54"/>
      <c r="G882" s="84">
        <v>0</v>
      </c>
      <c r="H882" s="84">
        <f>G881</f>
        <v>9600000</v>
      </c>
      <c r="I882" s="52">
        <f>G882-H882</f>
        <v>-9600000</v>
      </c>
    </row>
    <row r="883" spans="1:9" s="10" customFormat="1" ht="12.75" customHeight="1">
      <c r="A883" s="38"/>
      <c r="B883" s="93" t="s">
        <v>295</v>
      </c>
      <c r="C883" s="53"/>
      <c r="D883" s="53"/>
      <c r="E883" s="53"/>
      <c r="F883" s="54"/>
      <c r="G883" s="84"/>
      <c r="H883" s="84"/>
      <c r="I883" s="112"/>
    </row>
    <row r="884" spans="1:9" s="10" customFormat="1" ht="12.75" customHeight="1">
      <c r="A884" s="38"/>
      <c r="B884" s="93"/>
      <c r="C884" s="53"/>
      <c r="D884" s="53"/>
      <c r="E884" s="53"/>
      <c r="F884" s="54"/>
      <c r="G884" s="84"/>
      <c r="H884" s="84"/>
      <c r="I884" s="112"/>
    </row>
    <row r="885" spans="1:9" ht="12.75" customHeight="1">
      <c r="A885" s="37" t="s">
        <v>684</v>
      </c>
      <c r="B885" s="94" t="s">
        <v>312</v>
      </c>
      <c r="C885" s="60"/>
      <c r="D885" s="60"/>
      <c r="E885" s="60"/>
      <c r="F885" s="82"/>
      <c r="G885" s="51" t="s">
        <v>215</v>
      </c>
      <c r="H885" s="51" t="s">
        <v>215</v>
      </c>
      <c r="I885" s="52" t="s">
        <v>215</v>
      </c>
    </row>
    <row r="886" spans="1:9" ht="12.75" customHeight="1">
      <c r="A886" s="26"/>
      <c r="B886" s="94"/>
      <c r="C886" s="31" t="s">
        <v>312</v>
      </c>
      <c r="D886" s="31"/>
      <c r="E886" s="31"/>
      <c r="F886" s="54"/>
      <c r="G886" s="51" t="s">
        <v>215</v>
      </c>
      <c r="H886" s="51" t="s">
        <v>311</v>
      </c>
      <c r="I886" s="52" t="s">
        <v>215</v>
      </c>
    </row>
    <row r="887" spans="1:9" ht="12.75" customHeight="1">
      <c r="A887" s="26"/>
      <c r="B887" s="123" t="s">
        <v>313</v>
      </c>
      <c r="C887" s="31"/>
      <c r="D887" s="31"/>
      <c r="E887" s="31"/>
      <c r="F887" s="54"/>
      <c r="G887" s="55"/>
      <c r="H887" s="55"/>
      <c r="I887" s="52"/>
    </row>
    <row r="888" spans="1:9" s="10" customFormat="1" ht="12.75" customHeight="1">
      <c r="A888" s="38"/>
      <c r="B888" s="93"/>
      <c r="C888" s="53"/>
      <c r="D888" s="53"/>
      <c r="E888" s="53"/>
      <c r="F888" s="54"/>
      <c r="G888" s="84"/>
      <c r="H888" s="84"/>
      <c r="I888" s="112"/>
    </row>
    <row r="889" spans="1:9" s="10" customFormat="1" ht="12.75" customHeight="1">
      <c r="A889" s="37" t="s">
        <v>684</v>
      </c>
      <c r="B889" s="92" t="s">
        <v>268</v>
      </c>
      <c r="C889" s="53"/>
      <c r="D889" s="53"/>
      <c r="E889" s="53"/>
      <c r="F889" s="54"/>
      <c r="G889" s="84">
        <f>-I882</f>
        <v>9600000</v>
      </c>
      <c r="H889" s="84">
        <v>0</v>
      </c>
      <c r="I889" s="52">
        <f>G889-H889+I882</f>
        <v>0</v>
      </c>
    </row>
    <row r="890" spans="1:9" s="10" customFormat="1" ht="12.75" customHeight="1">
      <c r="A890" s="38"/>
      <c r="B890" s="94"/>
      <c r="C890" s="53" t="s">
        <v>269</v>
      </c>
      <c r="D890" s="53"/>
      <c r="E890" s="53"/>
      <c r="F890" s="54"/>
      <c r="G890" s="84">
        <v>0</v>
      </c>
      <c r="H890" s="84">
        <v>2295335</v>
      </c>
      <c r="I890" s="112">
        <f>G890-H890</f>
        <v>-2295335</v>
      </c>
    </row>
    <row r="891" spans="1:9" s="10" customFormat="1" ht="12.75" customHeight="1">
      <c r="A891" s="38"/>
      <c r="B891" s="94"/>
      <c r="C891" s="53" t="s">
        <v>271</v>
      </c>
      <c r="D891" s="53"/>
      <c r="E891" s="53"/>
      <c r="F891" s="54"/>
      <c r="G891" s="84">
        <v>0</v>
      </c>
      <c r="H891" s="84">
        <v>5614331</v>
      </c>
      <c r="I891" s="112">
        <f>G891-H891+I870</f>
        <v>234316106.658337</v>
      </c>
    </row>
    <row r="892" spans="1:9" s="10" customFormat="1" ht="12.75" customHeight="1">
      <c r="A892" s="38"/>
      <c r="B892" s="94"/>
      <c r="C892" s="53" t="s">
        <v>555</v>
      </c>
      <c r="D892" s="53"/>
      <c r="E892" s="53"/>
      <c r="F892" s="54"/>
      <c r="G892" s="84">
        <v>0</v>
      </c>
      <c r="H892" s="84">
        <v>0</v>
      </c>
      <c r="I892" s="52">
        <f>G892-H892</f>
        <v>0</v>
      </c>
    </row>
    <row r="893" spans="1:9" s="10" customFormat="1" ht="12.75" customHeight="1">
      <c r="A893" s="38"/>
      <c r="B893" s="92"/>
      <c r="C893" s="53" t="s">
        <v>672</v>
      </c>
      <c r="D893" s="53"/>
      <c r="E893" s="53"/>
      <c r="F893" s="54"/>
      <c r="G893" s="84">
        <v>0</v>
      </c>
      <c r="H893" s="84">
        <f>(G889-H889+G890-H890+G891-H891)</f>
        <v>1690334</v>
      </c>
      <c r="I893" s="112">
        <f>G893-H893+I872</f>
        <v>-245780668</v>
      </c>
    </row>
    <row r="894" spans="1:9" s="10" customFormat="1" ht="12.75" customHeight="1">
      <c r="A894" s="38"/>
      <c r="B894" s="93" t="s">
        <v>274</v>
      </c>
      <c r="C894" s="53"/>
      <c r="D894" s="53"/>
      <c r="E894" s="53"/>
      <c r="F894" s="54"/>
      <c r="G894" s="84"/>
      <c r="H894" s="84"/>
      <c r="I894" s="112"/>
    </row>
    <row r="895" spans="1:9" s="10" customFormat="1" ht="12.75" customHeight="1">
      <c r="A895" s="38"/>
      <c r="B895" s="93"/>
      <c r="C895" s="53"/>
      <c r="D895" s="53"/>
      <c r="E895" s="53"/>
      <c r="F895" s="54"/>
      <c r="G895" s="84"/>
      <c r="H895" s="84"/>
      <c r="I895" s="112"/>
    </row>
    <row r="896" spans="1:9" ht="12.75" customHeight="1">
      <c r="A896" s="37" t="s">
        <v>684</v>
      </c>
      <c r="B896" s="92" t="s">
        <v>269</v>
      </c>
      <c r="C896" s="53"/>
      <c r="D896" s="53"/>
      <c r="E896" s="53"/>
      <c r="F896" s="54"/>
      <c r="G896" s="84">
        <f>-I890</f>
        <v>2295335</v>
      </c>
      <c r="H896" s="84">
        <v>0</v>
      </c>
      <c r="I896" s="112">
        <f>G896+H896+I890</f>
        <v>0</v>
      </c>
    </row>
    <row r="897" spans="1:9" ht="12.75" customHeight="1">
      <c r="A897" s="37"/>
      <c r="B897" s="92"/>
      <c r="C897" s="53" t="s">
        <v>555</v>
      </c>
      <c r="D897" s="53"/>
      <c r="E897" s="53"/>
      <c r="F897" s="54"/>
      <c r="G897" s="84">
        <v>0</v>
      </c>
      <c r="H897" s="85">
        <f>-I892</f>
        <v>0</v>
      </c>
      <c r="I897" s="52">
        <f>G897-H897+I892</f>
        <v>0</v>
      </c>
    </row>
    <row r="898" spans="1:9" ht="12.75" customHeight="1">
      <c r="A898" s="26"/>
      <c r="B898" s="93"/>
      <c r="C898" s="53" t="s">
        <v>679</v>
      </c>
      <c r="D898" s="53"/>
      <c r="E898" s="53"/>
      <c r="F898" s="54"/>
      <c r="G898" s="84">
        <v>0</v>
      </c>
      <c r="H898" s="84">
        <f>G896-H896+G898-H897</f>
        <v>2295335</v>
      </c>
      <c r="I898" s="112">
        <f>G898-H898+I877</f>
        <v>-6535438.658337009</v>
      </c>
    </row>
    <row r="899" spans="1:9" ht="12.75" customHeight="1">
      <c r="A899" s="26"/>
      <c r="B899" s="93" t="s">
        <v>643</v>
      </c>
      <c r="C899" s="53"/>
      <c r="D899" s="53"/>
      <c r="E899" s="53"/>
      <c r="F899" s="54"/>
      <c r="G899" s="84"/>
      <c r="H899" s="84"/>
      <c r="I899" s="112"/>
    </row>
    <row r="900" spans="1:8" ht="13.5" thickBot="1">
      <c r="A900" s="111"/>
      <c r="B900" s="109"/>
      <c r="C900" s="110"/>
      <c r="D900" s="110"/>
      <c r="E900" s="110"/>
      <c r="F900" s="47"/>
      <c r="G900" s="111"/>
      <c r="H900" s="111"/>
    </row>
    <row r="902" ht="15.75">
      <c r="A902" s="7" t="s">
        <v>553</v>
      </c>
    </row>
    <row r="904" ht="12.75">
      <c r="A904" s="10" t="s">
        <v>655</v>
      </c>
    </row>
    <row r="905" ht="12.75">
      <c r="A905" s="10" t="s">
        <v>315</v>
      </c>
    </row>
    <row r="906" ht="12.75">
      <c r="A906" s="10" t="s">
        <v>615</v>
      </c>
    </row>
    <row r="907" ht="12.75">
      <c r="A907" s="10"/>
    </row>
    <row r="908" ht="12.75">
      <c r="A908" s="10" t="s">
        <v>561</v>
      </c>
    </row>
    <row r="909" ht="12.75">
      <c r="A909" s="10" t="s">
        <v>666</v>
      </c>
    </row>
    <row r="910" ht="12.75">
      <c r="A910" s="10" t="s">
        <v>317</v>
      </c>
    </row>
    <row r="912" ht="12.75">
      <c r="A912" s="10" t="s">
        <v>667</v>
      </c>
    </row>
    <row r="913" ht="12.75">
      <c r="A913" s="10" t="s">
        <v>318</v>
      </c>
    </row>
    <row r="914" ht="12.75">
      <c r="A914" s="10"/>
    </row>
    <row r="915" ht="12.75">
      <c r="A915" s="10" t="s">
        <v>621</v>
      </c>
    </row>
    <row r="916" ht="12.75">
      <c r="A916" s="10" t="s">
        <v>557</v>
      </c>
    </row>
    <row r="917" ht="12.75">
      <c r="A917" s="10"/>
    </row>
    <row r="918" ht="12.75">
      <c r="A918" s="10" t="s">
        <v>319</v>
      </c>
    </row>
    <row r="919" ht="12.75">
      <c r="A919" s="10" t="s">
        <v>656</v>
      </c>
    </row>
    <row r="920" ht="12.75">
      <c r="A920" s="10" t="s">
        <v>657</v>
      </c>
    </row>
    <row r="921" ht="12.75">
      <c r="A921" s="10" t="s">
        <v>558</v>
      </c>
    </row>
    <row r="924" ht="12.75">
      <c r="A924" s="2" t="s">
        <v>559</v>
      </c>
    </row>
    <row r="926" ht="12.75">
      <c r="A926" s="95" t="s">
        <v>607</v>
      </c>
    </row>
    <row r="927" ht="13.5" thickBot="1"/>
    <row r="928" spans="1:8" ht="12.75" customHeight="1" thickTop="1">
      <c r="A928" s="18" t="s">
        <v>668</v>
      </c>
      <c r="B928" s="19" t="s">
        <v>215</v>
      </c>
      <c r="C928" s="125" t="s">
        <v>575</v>
      </c>
      <c r="D928" s="19"/>
      <c r="E928" s="19"/>
      <c r="F928" s="20"/>
      <c r="G928" s="25"/>
      <c r="H928" s="39"/>
    </row>
    <row r="929" spans="1:9" ht="12.75" customHeight="1" thickBot="1">
      <c r="A929" s="28" t="s">
        <v>671</v>
      </c>
      <c r="B929" s="16"/>
      <c r="C929" s="124" t="s">
        <v>572</v>
      </c>
      <c r="D929" s="16"/>
      <c r="E929" s="16"/>
      <c r="F929" s="17"/>
      <c r="G929" s="28" t="s">
        <v>669</v>
      </c>
      <c r="H929" s="99" t="s">
        <v>670</v>
      </c>
      <c r="I929" s="11" t="s">
        <v>683</v>
      </c>
    </row>
    <row r="930" spans="1:9" ht="12.75" customHeight="1">
      <c r="A930" s="36" t="s">
        <v>680</v>
      </c>
      <c r="B930" s="91" t="s">
        <v>266</v>
      </c>
      <c r="C930" s="49"/>
      <c r="D930" s="49"/>
      <c r="E930" s="49"/>
      <c r="F930" s="50"/>
      <c r="G930" s="105">
        <v>251000000</v>
      </c>
      <c r="H930" s="105">
        <v>0</v>
      </c>
      <c r="I930" s="52">
        <f>G930-H930</f>
        <v>251000000</v>
      </c>
    </row>
    <row r="931" spans="1:9" ht="12.75" customHeight="1">
      <c r="A931" s="37"/>
      <c r="B931" s="92"/>
      <c r="C931" s="60" t="s">
        <v>672</v>
      </c>
      <c r="D931" s="60"/>
      <c r="E931" s="60"/>
      <c r="F931" s="82"/>
      <c r="G931" s="106">
        <v>0</v>
      </c>
      <c r="H931" s="106">
        <f>G930</f>
        <v>251000000</v>
      </c>
      <c r="I931" s="52">
        <f>G931-H931</f>
        <v>-251000000</v>
      </c>
    </row>
    <row r="932" spans="1:9" ht="12.75" customHeight="1">
      <c r="A932" s="37"/>
      <c r="B932" s="93" t="s">
        <v>267</v>
      </c>
      <c r="C932" s="60"/>
      <c r="D932" s="60"/>
      <c r="E932" s="60"/>
      <c r="F932" s="82"/>
      <c r="G932" s="51"/>
      <c r="H932" s="51"/>
      <c r="I932" s="52"/>
    </row>
    <row r="933" spans="1:9" ht="12.75" customHeight="1">
      <c r="A933" s="37"/>
      <c r="B933" s="93"/>
      <c r="C933" s="60"/>
      <c r="D933" s="60"/>
      <c r="E933" s="60"/>
      <c r="F933" s="82"/>
      <c r="G933" s="51"/>
      <c r="H933" s="51"/>
      <c r="I933" s="52"/>
    </row>
    <row r="934" spans="1:9" ht="12.75" customHeight="1">
      <c r="A934" s="37" t="s">
        <v>680</v>
      </c>
      <c r="B934" s="94" t="s">
        <v>310</v>
      </c>
      <c r="C934" s="60"/>
      <c r="D934" s="60"/>
      <c r="E934" s="60"/>
      <c r="F934" s="82"/>
      <c r="G934" s="51" t="s">
        <v>215</v>
      </c>
      <c r="H934" s="51" t="s">
        <v>215</v>
      </c>
      <c r="I934" s="52" t="s">
        <v>215</v>
      </c>
    </row>
    <row r="935" spans="1:9" ht="12.75" customHeight="1">
      <c r="A935" s="26"/>
      <c r="B935" s="94"/>
      <c r="C935" s="31" t="s">
        <v>310</v>
      </c>
      <c r="D935" s="31"/>
      <c r="E935" s="31"/>
      <c r="F935" s="54"/>
      <c r="G935" s="51" t="s">
        <v>215</v>
      </c>
      <c r="H935" s="51" t="s">
        <v>311</v>
      </c>
      <c r="I935" s="52" t="s">
        <v>215</v>
      </c>
    </row>
    <row r="936" spans="1:9" ht="12.75" customHeight="1">
      <c r="A936" s="26"/>
      <c r="B936" s="123" t="s">
        <v>313</v>
      </c>
      <c r="C936" s="31"/>
      <c r="D936" s="31"/>
      <c r="E936" s="31"/>
      <c r="F936" s="54"/>
      <c r="G936" s="55"/>
      <c r="H936" s="55"/>
      <c r="I936" s="52"/>
    </row>
    <row r="937" spans="1:9" ht="12.75" customHeight="1">
      <c r="A937" s="37"/>
      <c r="B937" s="92"/>
      <c r="C937" s="60"/>
      <c r="D937" s="60"/>
      <c r="E937" s="60"/>
      <c r="F937" s="82"/>
      <c r="G937" s="51"/>
      <c r="H937" s="51"/>
      <c r="I937" s="52"/>
    </row>
    <row r="938" spans="1:9" s="10" customFormat="1" ht="12.75" customHeight="1">
      <c r="A938" s="37" t="s">
        <v>681</v>
      </c>
      <c r="B938" s="92" t="s">
        <v>672</v>
      </c>
      <c r="C938" s="53"/>
      <c r="D938" s="53"/>
      <c r="E938" s="53"/>
      <c r="F938" s="54"/>
      <c r="G938" s="84">
        <f>1850*4000</f>
        <v>7400000</v>
      </c>
      <c r="H938" s="51">
        <v>0</v>
      </c>
      <c r="I938" s="52">
        <f>G938-H938+I931</f>
        <v>-243600000</v>
      </c>
    </row>
    <row r="939" spans="1:9" s="10" customFormat="1" ht="12.75" customHeight="1">
      <c r="A939" s="38"/>
      <c r="B939" s="92"/>
      <c r="C939" s="53" t="s">
        <v>268</v>
      </c>
      <c r="D939" s="53"/>
      <c r="E939" s="53"/>
      <c r="F939" s="54"/>
      <c r="G939" s="51">
        <v>0</v>
      </c>
      <c r="H939" s="85">
        <f>G938</f>
        <v>7400000</v>
      </c>
      <c r="I939" s="52">
        <f>G939-H939</f>
        <v>-7400000</v>
      </c>
    </row>
    <row r="940" spans="1:9" s="10" customFormat="1" ht="12.75" customHeight="1">
      <c r="A940" s="38"/>
      <c r="B940" s="93" t="s">
        <v>295</v>
      </c>
      <c r="C940" s="53"/>
      <c r="D940" s="53"/>
      <c r="E940" s="53"/>
      <c r="F940" s="54"/>
      <c r="G940" s="55"/>
      <c r="H940" s="55"/>
      <c r="I940" s="52"/>
    </row>
    <row r="941" spans="1:9" s="10" customFormat="1" ht="12.75" customHeight="1">
      <c r="A941" s="38"/>
      <c r="B941" s="93"/>
      <c r="C941" s="53"/>
      <c r="D941" s="53"/>
      <c r="E941" s="53"/>
      <c r="F941" s="54"/>
      <c r="G941" s="55"/>
      <c r="H941" s="55"/>
      <c r="I941" s="52"/>
    </row>
    <row r="942" spans="1:9" ht="12.75" customHeight="1">
      <c r="A942" s="37" t="s">
        <v>680</v>
      </c>
      <c r="B942" s="94" t="s">
        <v>312</v>
      </c>
      <c r="C942" s="60"/>
      <c r="D942" s="60"/>
      <c r="E942" s="60"/>
      <c r="F942" s="82"/>
      <c r="G942" s="51" t="s">
        <v>215</v>
      </c>
      <c r="H942" s="51" t="s">
        <v>215</v>
      </c>
      <c r="I942" s="52" t="s">
        <v>215</v>
      </c>
    </row>
    <row r="943" spans="1:9" ht="12.75" customHeight="1">
      <c r="A943" s="26"/>
      <c r="B943" s="94"/>
      <c r="C943" s="31" t="s">
        <v>312</v>
      </c>
      <c r="D943" s="31"/>
      <c r="E943" s="31"/>
      <c r="F943" s="54"/>
      <c r="G943" s="51" t="s">
        <v>215</v>
      </c>
      <c r="H943" s="51" t="s">
        <v>311</v>
      </c>
      <c r="I943" s="52" t="s">
        <v>215</v>
      </c>
    </row>
    <row r="944" spans="1:9" ht="12.75" customHeight="1">
      <c r="A944" s="26"/>
      <c r="B944" s="123" t="s">
        <v>313</v>
      </c>
      <c r="C944" s="31"/>
      <c r="D944" s="31"/>
      <c r="E944" s="31"/>
      <c r="F944" s="54"/>
      <c r="G944" s="55"/>
      <c r="H944" s="55"/>
      <c r="I944" s="52"/>
    </row>
    <row r="945" spans="1:9" s="10" customFormat="1" ht="12.75" customHeight="1">
      <c r="A945" s="38"/>
      <c r="B945" s="93"/>
      <c r="C945" s="53"/>
      <c r="D945" s="53"/>
      <c r="E945" s="53"/>
      <c r="F945" s="54"/>
      <c r="G945" s="55"/>
      <c r="H945" s="55"/>
      <c r="I945" s="52"/>
    </row>
    <row r="946" spans="1:9" s="10" customFormat="1" ht="12.75" customHeight="1">
      <c r="A946" s="37" t="s">
        <v>681</v>
      </c>
      <c r="B946" s="92" t="s">
        <v>268</v>
      </c>
      <c r="C946" s="53"/>
      <c r="D946" s="53"/>
      <c r="E946" s="53"/>
      <c r="F946" s="54"/>
      <c r="G946" s="84">
        <f>-I939</f>
        <v>7400000</v>
      </c>
      <c r="H946" s="84">
        <v>0</v>
      </c>
      <c r="I946" s="52">
        <f>G946-H946+I939</f>
        <v>0</v>
      </c>
    </row>
    <row r="947" spans="1:9" s="10" customFormat="1" ht="12.75" customHeight="1">
      <c r="A947" s="38"/>
      <c r="B947" s="94"/>
      <c r="C947" s="53" t="s">
        <v>269</v>
      </c>
      <c r="D947" s="53"/>
      <c r="E947" s="53"/>
      <c r="F947" s="54"/>
      <c r="G947" s="84">
        <v>0</v>
      </c>
      <c r="H947" s="84">
        <v>2401233.333333333</v>
      </c>
      <c r="I947" s="52">
        <f>G947-H947</f>
        <v>-2401233.333333333</v>
      </c>
    </row>
    <row r="948" spans="1:9" s="10" customFormat="1" ht="12.75" customHeight="1">
      <c r="A948" s="38"/>
      <c r="B948" s="94"/>
      <c r="C948" s="53" t="s">
        <v>271</v>
      </c>
      <c r="D948" s="53"/>
      <c r="E948" s="53"/>
      <c r="F948" s="54"/>
      <c r="G948" s="84">
        <v>0</v>
      </c>
      <c r="H948" s="84">
        <v>5508432.341662991</v>
      </c>
      <c r="I948" s="52">
        <f>G948-H948+I930</f>
        <v>245491567.658337</v>
      </c>
    </row>
    <row r="949" spans="1:9" s="10" customFormat="1" ht="12.75" customHeight="1">
      <c r="A949" s="38"/>
      <c r="B949" s="94"/>
      <c r="C949" s="53" t="s">
        <v>555</v>
      </c>
      <c r="D949" s="53"/>
      <c r="E949" s="53"/>
      <c r="F949" s="54"/>
      <c r="G949" s="84">
        <f>-(G946-H946+G947-H947+G948-H948)</f>
        <v>509665.6749963239</v>
      </c>
      <c r="H949" s="84">
        <v>0</v>
      </c>
      <c r="I949" s="52">
        <f>G949-H949</f>
        <v>509665.6749963239</v>
      </c>
    </row>
    <row r="950" spans="1:9" s="10" customFormat="1" ht="12.75" customHeight="1">
      <c r="A950" s="38"/>
      <c r="B950" s="92"/>
      <c r="C950" s="53" t="s">
        <v>672</v>
      </c>
      <c r="D950" s="53"/>
      <c r="E950" s="53"/>
      <c r="F950" s="54"/>
      <c r="G950" s="84">
        <v>0</v>
      </c>
      <c r="H950" s="84">
        <v>0</v>
      </c>
      <c r="I950" s="52">
        <f>G950-H950+I938</f>
        <v>-243600000</v>
      </c>
    </row>
    <row r="951" spans="1:9" s="10" customFormat="1" ht="12.75" customHeight="1">
      <c r="A951" s="38"/>
      <c r="B951" s="93" t="s">
        <v>274</v>
      </c>
      <c r="C951" s="53"/>
      <c r="D951" s="53"/>
      <c r="E951" s="53"/>
      <c r="F951" s="54"/>
      <c r="G951" s="84"/>
      <c r="H951" s="84"/>
      <c r="I951" s="52"/>
    </row>
    <row r="952" spans="1:9" s="10" customFormat="1" ht="12.75" customHeight="1">
      <c r="A952" s="38"/>
      <c r="B952" s="93"/>
      <c r="C952" s="53"/>
      <c r="D952" s="53"/>
      <c r="E952" s="53"/>
      <c r="F952" s="54"/>
      <c r="G952" s="84" t="s">
        <v>215</v>
      </c>
      <c r="H952" s="84"/>
      <c r="I952" s="52"/>
    </row>
    <row r="953" spans="1:9" ht="12.75" customHeight="1">
      <c r="A953" s="37" t="s">
        <v>681</v>
      </c>
      <c r="B953" s="92" t="s">
        <v>269</v>
      </c>
      <c r="C953" s="53"/>
      <c r="D953" s="53"/>
      <c r="E953" s="53"/>
      <c r="F953" s="54"/>
      <c r="G953" s="84">
        <f>-I947</f>
        <v>2401233.333333333</v>
      </c>
      <c r="H953" s="51">
        <v>0</v>
      </c>
      <c r="I953" s="52">
        <f>G953-H953+I947</f>
        <v>0</v>
      </c>
    </row>
    <row r="954" spans="1:9" ht="12.75" customHeight="1">
      <c r="A954" s="37"/>
      <c r="B954" s="92"/>
      <c r="C954" s="53" t="s">
        <v>555</v>
      </c>
      <c r="D954" s="53"/>
      <c r="E954" s="53"/>
      <c r="F954" s="54"/>
      <c r="G954" s="51">
        <v>0</v>
      </c>
      <c r="H954" s="85">
        <f>I949</f>
        <v>509665.6749963239</v>
      </c>
      <c r="I954" s="52">
        <f>G954-H954+I949</f>
        <v>0</v>
      </c>
    </row>
    <row r="955" spans="1:9" ht="12.75" customHeight="1">
      <c r="A955" s="26"/>
      <c r="B955" s="93"/>
      <c r="C955" s="53" t="s">
        <v>679</v>
      </c>
      <c r="D955" s="53"/>
      <c r="E955" s="53"/>
      <c r="F955" s="54"/>
      <c r="G955" s="51">
        <v>0</v>
      </c>
      <c r="H955" s="84">
        <f>G953-H953+G955-H954</f>
        <v>1891567.6583370091</v>
      </c>
      <c r="I955" s="52">
        <f>G955-H955</f>
        <v>-1891567.6583370091</v>
      </c>
    </row>
    <row r="956" spans="1:9" ht="12.75" customHeight="1">
      <c r="A956" s="26"/>
      <c r="B956" s="93" t="s">
        <v>643</v>
      </c>
      <c r="C956" s="53"/>
      <c r="D956" s="53"/>
      <c r="E956" s="53"/>
      <c r="F956" s="54"/>
      <c r="G956" s="55"/>
      <c r="H956" s="55"/>
      <c r="I956" s="52"/>
    </row>
    <row r="957" spans="1:9" ht="12.75" customHeight="1" thickBot="1">
      <c r="A957" s="35"/>
      <c r="B957" s="113"/>
      <c r="C957" s="114"/>
      <c r="D957" s="114"/>
      <c r="E957" s="114"/>
      <c r="F957" s="115"/>
      <c r="G957" s="116"/>
      <c r="H957" s="116"/>
      <c r="I957" s="117"/>
    </row>
    <row r="958" spans="1:9" ht="12.75" customHeight="1">
      <c r="A958" s="26"/>
      <c r="B958" s="93"/>
      <c r="C958" s="53"/>
      <c r="D958" s="53"/>
      <c r="E958" s="53"/>
      <c r="F958" s="54"/>
      <c r="G958" s="55"/>
      <c r="H958" s="55"/>
      <c r="I958" s="52"/>
    </row>
    <row r="959" spans="1:9" s="10" customFormat="1" ht="12.75" customHeight="1">
      <c r="A959" s="37" t="s">
        <v>682</v>
      </c>
      <c r="B959" s="92" t="s">
        <v>672</v>
      </c>
      <c r="C959" s="53"/>
      <c r="D959" s="53"/>
      <c r="E959" s="53"/>
      <c r="F959" s="54"/>
      <c r="G959" s="84">
        <f>2100*4000</f>
        <v>8400000</v>
      </c>
      <c r="H959" s="51">
        <v>0</v>
      </c>
      <c r="I959" s="52">
        <f>G959-H959+I950</f>
        <v>-235200000</v>
      </c>
    </row>
    <row r="960" spans="1:9" s="10" customFormat="1" ht="12.75" customHeight="1">
      <c r="A960" s="38"/>
      <c r="B960" s="92"/>
      <c r="C960" s="53" t="s">
        <v>268</v>
      </c>
      <c r="D960" s="53"/>
      <c r="E960" s="53"/>
      <c r="F960" s="54"/>
      <c r="G960" s="84">
        <v>0</v>
      </c>
      <c r="H960" s="84">
        <f>G959</f>
        <v>8400000</v>
      </c>
      <c r="I960" s="52">
        <f>G960-H960</f>
        <v>-8400000</v>
      </c>
    </row>
    <row r="961" spans="1:9" s="10" customFormat="1" ht="12.75" customHeight="1">
      <c r="A961" s="38"/>
      <c r="B961" s="93" t="s">
        <v>295</v>
      </c>
      <c r="C961" s="53"/>
      <c r="D961" s="53"/>
      <c r="E961" s="53"/>
      <c r="F961" s="54"/>
      <c r="G961" s="84"/>
      <c r="H961" s="84"/>
      <c r="I961" s="112"/>
    </row>
    <row r="962" spans="1:9" s="10" customFormat="1" ht="12.75" customHeight="1">
      <c r="A962" s="38"/>
      <c r="B962" s="93"/>
      <c r="C962" s="53"/>
      <c r="D962" s="53"/>
      <c r="E962" s="53"/>
      <c r="F962" s="54"/>
      <c r="G962" s="84"/>
      <c r="H962" s="84"/>
      <c r="I962" s="112"/>
    </row>
    <row r="963" spans="1:9" ht="12.75" customHeight="1">
      <c r="A963" s="37" t="s">
        <v>682</v>
      </c>
      <c r="B963" s="94" t="s">
        <v>312</v>
      </c>
      <c r="C963" s="60"/>
      <c r="D963" s="60"/>
      <c r="E963" s="60"/>
      <c r="F963" s="82"/>
      <c r="G963" s="51" t="s">
        <v>215</v>
      </c>
      <c r="H963" s="51" t="s">
        <v>215</v>
      </c>
      <c r="I963" s="52" t="s">
        <v>215</v>
      </c>
    </row>
    <row r="964" spans="1:9" ht="12.75" customHeight="1">
      <c r="A964" s="26"/>
      <c r="B964" s="94"/>
      <c r="C964" s="31" t="s">
        <v>312</v>
      </c>
      <c r="D964" s="31"/>
      <c r="E964" s="31"/>
      <c r="F964" s="54"/>
      <c r="G964" s="51" t="s">
        <v>215</v>
      </c>
      <c r="H964" s="51" t="s">
        <v>311</v>
      </c>
      <c r="I964" s="52" t="s">
        <v>215</v>
      </c>
    </row>
    <row r="965" spans="1:9" ht="12.75" customHeight="1">
      <c r="A965" s="26"/>
      <c r="B965" s="123" t="s">
        <v>313</v>
      </c>
      <c r="C965" s="31"/>
      <c r="D965" s="31"/>
      <c r="E965" s="31"/>
      <c r="F965" s="54"/>
      <c r="G965" s="55"/>
      <c r="H965" s="55"/>
      <c r="I965" s="52"/>
    </row>
    <row r="966" spans="1:9" s="10" customFormat="1" ht="12.75" customHeight="1">
      <c r="A966" s="38"/>
      <c r="B966" s="93"/>
      <c r="C966" s="53"/>
      <c r="D966" s="53"/>
      <c r="E966" s="53"/>
      <c r="F966" s="54"/>
      <c r="G966" s="84"/>
      <c r="H966" s="84"/>
      <c r="I966" s="112"/>
    </row>
    <row r="967" spans="1:9" s="10" customFormat="1" ht="12.75" customHeight="1">
      <c r="A967" s="37" t="s">
        <v>682</v>
      </c>
      <c r="B967" s="92" t="s">
        <v>268</v>
      </c>
      <c r="C967" s="53"/>
      <c r="D967" s="53"/>
      <c r="E967" s="53"/>
      <c r="F967" s="54"/>
      <c r="G967" s="84">
        <f>-I960</f>
        <v>8400000</v>
      </c>
      <c r="H967" s="84">
        <v>0</v>
      </c>
      <c r="I967" s="52">
        <f>G967-H967+I960</f>
        <v>0</v>
      </c>
    </row>
    <row r="968" spans="1:9" s="10" customFormat="1" ht="12.75" customHeight="1">
      <c r="A968" s="38"/>
      <c r="B968" s="94"/>
      <c r="C968" s="53" t="s">
        <v>269</v>
      </c>
      <c r="D968" s="53"/>
      <c r="E968" s="53"/>
      <c r="F968" s="54"/>
      <c r="G968" s="84">
        <v>0</v>
      </c>
      <c r="H968" s="84">
        <v>2348536</v>
      </c>
      <c r="I968" s="112">
        <f>G968-H968</f>
        <v>-2348536</v>
      </c>
    </row>
    <row r="969" spans="1:9" s="10" customFormat="1" ht="12.75" customHeight="1">
      <c r="A969" s="38"/>
      <c r="B969" s="94"/>
      <c r="C969" s="53" t="s">
        <v>271</v>
      </c>
      <c r="D969" s="53"/>
      <c r="E969" s="53"/>
      <c r="F969" s="54"/>
      <c r="G969" s="84">
        <v>0</v>
      </c>
      <c r="H969" s="84">
        <v>5561130</v>
      </c>
      <c r="I969" s="112">
        <f>G969-H969+I948</f>
        <v>239930437.658337</v>
      </c>
    </row>
    <row r="970" spans="1:9" s="10" customFormat="1" ht="12.75" customHeight="1">
      <c r="A970" s="38"/>
      <c r="B970" s="92"/>
      <c r="C970" s="53" t="s">
        <v>555</v>
      </c>
      <c r="D970" s="53"/>
      <c r="E970" s="53"/>
      <c r="F970" s="54"/>
      <c r="G970" s="84">
        <v>0</v>
      </c>
      <c r="H970" s="84">
        <f>(G967-H967+G968-H968+G969-H969)</f>
        <v>490334</v>
      </c>
      <c r="I970" s="112">
        <f>G970-H970</f>
        <v>-490334</v>
      </c>
    </row>
    <row r="971" spans="1:9" s="10" customFormat="1" ht="12.75" customHeight="1">
      <c r="A971" s="38"/>
      <c r="B971" s="92"/>
      <c r="C971" s="53" t="s">
        <v>672</v>
      </c>
      <c r="D971" s="53"/>
      <c r="E971" s="53"/>
      <c r="F971" s="54"/>
      <c r="G971" s="84">
        <v>0</v>
      </c>
      <c r="H971" s="84">
        <v>0</v>
      </c>
      <c r="I971" s="112">
        <f>G971-H971+I959</f>
        <v>-235200000</v>
      </c>
    </row>
    <row r="972" spans="1:9" s="10" customFormat="1" ht="12.75" customHeight="1">
      <c r="A972" s="38"/>
      <c r="B972" s="93" t="s">
        <v>274</v>
      </c>
      <c r="C972" s="53"/>
      <c r="D972" s="53"/>
      <c r="E972" s="53"/>
      <c r="F972" s="54"/>
      <c r="G972" s="84"/>
      <c r="H972" s="84"/>
      <c r="I972" s="112"/>
    </row>
    <row r="973" spans="1:9" s="10" customFormat="1" ht="12.75" customHeight="1">
      <c r="A973" s="38"/>
      <c r="B973" s="93"/>
      <c r="C973" s="53"/>
      <c r="D973" s="53"/>
      <c r="E973" s="53"/>
      <c r="F973" s="54"/>
      <c r="G973" s="84"/>
      <c r="H973" s="84"/>
      <c r="I973" s="112"/>
    </row>
    <row r="974" spans="1:9" ht="12.75" customHeight="1">
      <c r="A974" s="37" t="s">
        <v>682</v>
      </c>
      <c r="B974" s="92" t="s">
        <v>269</v>
      </c>
      <c r="C974" s="53"/>
      <c r="D974" s="53"/>
      <c r="E974" s="53"/>
      <c r="F974" s="54"/>
      <c r="G974" s="84">
        <f>-I968</f>
        <v>2348536</v>
      </c>
      <c r="H974" s="84">
        <v>0</v>
      </c>
      <c r="I974" s="112">
        <f>G974+H974+I968</f>
        <v>0</v>
      </c>
    </row>
    <row r="975" spans="1:9" ht="12.75" customHeight="1">
      <c r="A975" s="37"/>
      <c r="B975" s="92"/>
      <c r="C975" s="53" t="s">
        <v>555</v>
      </c>
      <c r="D975" s="53"/>
      <c r="E975" s="53"/>
      <c r="F975" s="54"/>
      <c r="G975" s="85">
        <f>-I970</f>
        <v>490334</v>
      </c>
      <c r="H975" s="57">
        <v>0</v>
      </c>
      <c r="I975" s="52">
        <f>G975-H975+I970</f>
        <v>0</v>
      </c>
    </row>
    <row r="976" spans="1:9" ht="12.75" customHeight="1">
      <c r="A976" s="26"/>
      <c r="B976" s="93"/>
      <c r="C976" s="53" t="s">
        <v>679</v>
      </c>
      <c r="D976" s="53"/>
      <c r="E976" s="53"/>
      <c r="F976" s="54"/>
      <c r="G976" s="84">
        <v>0</v>
      </c>
      <c r="H976" s="84">
        <f>G974-H974+G975-H975</f>
        <v>2838870</v>
      </c>
      <c r="I976" s="112">
        <f>G976-H976+I955</f>
        <v>-4730437.658337009</v>
      </c>
    </row>
    <row r="977" spans="1:9" ht="12.75" customHeight="1">
      <c r="A977" s="26"/>
      <c r="B977" s="93" t="s">
        <v>643</v>
      </c>
      <c r="C977" s="53"/>
      <c r="D977" s="53"/>
      <c r="E977" s="53"/>
      <c r="F977" s="54"/>
      <c r="G977" s="84"/>
      <c r="H977" s="84"/>
      <c r="I977" s="112"/>
    </row>
    <row r="978" spans="1:9" ht="12.75" customHeight="1" thickBot="1">
      <c r="A978" s="35"/>
      <c r="B978" s="113"/>
      <c r="C978" s="114"/>
      <c r="D978" s="114"/>
      <c r="E978" s="114"/>
      <c r="F978" s="115"/>
      <c r="G978" s="118"/>
      <c r="H978" s="118"/>
      <c r="I978" s="119"/>
    </row>
    <row r="979" spans="1:9" ht="12.75" customHeight="1">
      <c r="A979" s="26"/>
      <c r="B979" s="93"/>
      <c r="C979" s="53"/>
      <c r="D979" s="53"/>
      <c r="E979" s="53"/>
      <c r="F979" s="54"/>
      <c r="G979" s="84"/>
      <c r="H979" s="84"/>
      <c r="I979" s="112"/>
    </row>
    <row r="980" spans="1:9" s="10" customFormat="1" ht="12.75" customHeight="1">
      <c r="A980" s="37" t="s">
        <v>684</v>
      </c>
      <c r="B980" s="92" t="s">
        <v>672</v>
      </c>
      <c r="C980" s="53"/>
      <c r="D980" s="53"/>
      <c r="E980" s="53"/>
      <c r="F980" s="54"/>
      <c r="G980" s="84">
        <f>2400*4000</f>
        <v>9600000</v>
      </c>
      <c r="H980" s="51">
        <v>0</v>
      </c>
      <c r="I980" s="52">
        <f>G980-H980+I971</f>
        <v>-225600000</v>
      </c>
    </row>
    <row r="981" spans="1:9" s="10" customFormat="1" ht="12.75" customHeight="1">
      <c r="A981" s="38"/>
      <c r="B981" s="92"/>
      <c r="C981" s="53" t="s">
        <v>268</v>
      </c>
      <c r="D981" s="53"/>
      <c r="E981" s="53"/>
      <c r="F981" s="54"/>
      <c r="G981" s="84">
        <v>0</v>
      </c>
      <c r="H981" s="84">
        <f>G980</f>
        <v>9600000</v>
      </c>
      <c r="I981" s="52">
        <f>G981-H981</f>
        <v>-9600000</v>
      </c>
    </row>
    <row r="982" spans="1:9" s="10" customFormat="1" ht="12.75" customHeight="1">
      <c r="A982" s="38"/>
      <c r="B982" s="93" t="s">
        <v>295</v>
      </c>
      <c r="C982" s="53"/>
      <c r="D982" s="53"/>
      <c r="E982" s="53"/>
      <c r="F982" s="54"/>
      <c r="G982" s="84"/>
      <c r="H982" s="84"/>
      <c r="I982" s="112"/>
    </row>
    <row r="983" spans="1:9" s="10" customFormat="1" ht="12.75" customHeight="1">
      <c r="A983" s="38"/>
      <c r="B983" s="93"/>
      <c r="C983" s="53"/>
      <c r="D983" s="53"/>
      <c r="E983" s="53"/>
      <c r="F983" s="54"/>
      <c r="G983" s="84"/>
      <c r="H983" s="84"/>
      <c r="I983" s="112"/>
    </row>
    <row r="984" spans="1:9" ht="12.75" customHeight="1">
      <c r="A984" s="37" t="s">
        <v>684</v>
      </c>
      <c r="B984" s="94" t="s">
        <v>312</v>
      </c>
      <c r="C984" s="60"/>
      <c r="D984" s="60"/>
      <c r="E984" s="60"/>
      <c r="F984" s="82"/>
      <c r="G984" s="51" t="s">
        <v>215</v>
      </c>
      <c r="H984" s="51" t="s">
        <v>215</v>
      </c>
      <c r="I984" s="52" t="s">
        <v>215</v>
      </c>
    </row>
    <row r="985" spans="1:9" ht="12.75" customHeight="1">
      <c r="A985" s="26"/>
      <c r="B985" s="94"/>
      <c r="C985" s="31" t="s">
        <v>312</v>
      </c>
      <c r="D985" s="31"/>
      <c r="E985" s="31"/>
      <c r="F985" s="54"/>
      <c r="G985" s="51" t="s">
        <v>215</v>
      </c>
      <c r="H985" s="51" t="s">
        <v>311</v>
      </c>
      <c r="I985" s="52" t="s">
        <v>215</v>
      </c>
    </row>
    <row r="986" spans="1:9" ht="12.75" customHeight="1">
      <c r="A986" s="26"/>
      <c r="B986" s="123" t="s">
        <v>313</v>
      </c>
      <c r="C986" s="31"/>
      <c r="D986" s="31"/>
      <c r="E986" s="31"/>
      <c r="F986" s="54"/>
      <c r="G986" s="55"/>
      <c r="H986" s="55"/>
      <c r="I986" s="52"/>
    </row>
    <row r="987" spans="1:9" s="10" customFormat="1" ht="12.75" customHeight="1">
      <c r="A987" s="38"/>
      <c r="B987" s="93"/>
      <c r="C987" s="53"/>
      <c r="D987" s="53"/>
      <c r="E987" s="53"/>
      <c r="F987" s="54"/>
      <c r="G987" s="84"/>
      <c r="H987" s="84"/>
      <c r="I987" s="112"/>
    </row>
    <row r="988" spans="1:9" s="10" customFormat="1" ht="12.75" customHeight="1">
      <c r="A988" s="37" t="s">
        <v>684</v>
      </c>
      <c r="B988" s="92" t="s">
        <v>268</v>
      </c>
      <c r="C988" s="53"/>
      <c r="D988" s="53"/>
      <c r="E988" s="53"/>
      <c r="F988" s="54"/>
      <c r="G988" s="84">
        <f>-I981</f>
        <v>9600000</v>
      </c>
      <c r="H988" s="84">
        <v>0</v>
      </c>
      <c r="I988" s="52">
        <f>G988-H988+I981</f>
        <v>0</v>
      </c>
    </row>
    <row r="989" spans="1:9" s="10" customFormat="1" ht="12.75" customHeight="1">
      <c r="A989" s="38"/>
      <c r="B989" s="94"/>
      <c r="C989" s="53" t="s">
        <v>269</v>
      </c>
      <c r="D989" s="53"/>
      <c r="E989" s="53"/>
      <c r="F989" s="54"/>
      <c r="G989" s="84">
        <v>0</v>
      </c>
      <c r="H989" s="84">
        <v>2295335</v>
      </c>
      <c r="I989" s="112">
        <f>G989-H989</f>
        <v>-2295335</v>
      </c>
    </row>
    <row r="990" spans="1:9" s="10" customFormat="1" ht="12.75" customHeight="1">
      <c r="A990" s="38"/>
      <c r="B990" s="94"/>
      <c r="C990" s="53" t="s">
        <v>271</v>
      </c>
      <c r="D990" s="53"/>
      <c r="E990" s="53"/>
      <c r="F990" s="54"/>
      <c r="G990" s="84">
        <v>0</v>
      </c>
      <c r="H990" s="84">
        <v>5614331</v>
      </c>
      <c r="I990" s="112">
        <f>G990-H990+I969</f>
        <v>234316106.658337</v>
      </c>
    </row>
    <row r="991" spans="1:9" s="10" customFormat="1" ht="12.75" customHeight="1">
      <c r="A991" s="38"/>
      <c r="B991" s="94"/>
      <c r="C991" s="53" t="s">
        <v>555</v>
      </c>
      <c r="D991" s="53"/>
      <c r="E991" s="53"/>
      <c r="F991" s="54"/>
      <c r="G991" s="84">
        <v>0</v>
      </c>
      <c r="H991" s="84">
        <f>(G988-H988+G989-H989+G990-H990)</f>
        <v>1690334</v>
      </c>
      <c r="I991" s="52">
        <f>G991-H991</f>
        <v>-1690334</v>
      </c>
    </row>
    <row r="992" spans="1:9" s="10" customFormat="1" ht="12.75" customHeight="1">
      <c r="A992" s="38"/>
      <c r="B992" s="92"/>
      <c r="C992" s="53" t="s">
        <v>672</v>
      </c>
      <c r="D992" s="53"/>
      <c r="E992" s="53"/>
      <c r="F992" s="54"/>
      <c r="G992" s="84">
        <v>0</v>
      </c>
      <c r="H992" s="57">
        <v>0</v>
      </c>
      <c r="I992" s="112">
        <f>G992-H991+I971</f>
        <v>-236890334</v>
      </c>
    </row>
    <row r="993" spans="1:9" s="10" customFormat="1" ht="12.75" customHeight="1">
      <c r="A993" s="38"/>
      <c r="B993" s="93" t="s">
        <v>274</v>
      </c>
      <c r="C993" s="53"/>
      <c r="D993" s="53"/>
      <c r="E993" s="53"/>
      <c r="F993" s="54"/>
      <c r="G993" s="84"/>
      <c r="H993" s="84"/>
      <c r="I993" s="112"/>
    </row>
    <row r="994" spans="1:9" s="10" customFormat="1" ht="12.75" customHeight="1">
      <c r="A994" s="38"/>
      <c r="B994" s="93"/>
      <c r="C994" s="53"/>
      <c r="D994" s="53"/>
      <c r="E994" s="53"/>
      <c r="F994" s="54"/>
      <c r="G994" s="84"/>
      <c r="H994" s="84"/>
      <c r="I994" s="112"/>
    </row>
    <row r="995" spans="1:9" ht="12.75" customHeight="1">
      <c r="A995" s="37" t="s">
        <v>684</v>
      </c>
      <c r="B995" s="92" t="s">
        <v>269</v>
      </c>
      <c r="C995" s="53"/>
      <c r="D995" s="53"/>
      <c r="E995" s="53"/>
      <c r="F995" s="54"/>
      <c r="G995" s="84">
        <f>-I989</f>
        <v>2295335</v>
      </c>
      <c r="H995" s="84">
        <v>0</v>
      </c>
      <c r="I995" s="112">
        <f>G995+H995+I989</f>
        <v>0</v>
      </c>
    </row>
    <row r="996" spans="1:9" ht="12.75" customHeight="1">
      <c r="A996" s="37"/>
      <c r="B996" s="92"/>
      <c r="C996" s="53" t="s">
        <v>555</v>
      </c>
      <c r="D996" s="53"/>
      <c r="E996" s="53"/>
      <c r="F996" s="54"/>
      <c r="G996" s="85">
        <f>-I991</f>
        <v>1690334</v>
      </c>
      <c r="H996" s="57">
        <v>0</v>
      </c>
      <c r="I996" s="52">
        <f>G996-H996+I991</f>
        <v>0</v>
      </c>
    </row>
    <row r="997" spans="1:9" ht="12.75" customHeight="1">
      <c r="A997" s="26"/>
      <c r="B997" s="93"/>
      <c r="C997" s="53" t="s">
        <v>679</v>
      </c>
      <c r="D997" s="53"/>
      <c r="E997" s="53"/>
      <c r="F997" s="54"/>
      <c r="G997" s="84">
        <v>0</v>
      </c>
      <c r="H997" s="84">
        <f>G995-H995+G996-H996</f>
        <v>3985669</v>
      </c>
      <c r="I997" s="112">
        <f>G997-H997+I976</f>
        <v>-8716106.658337008</v>
      </c>
    </row>
    <row r="998" spans="1:9" ht="12.75" customHeight="1">
      <c r="A998" s="26"/>
      <c r="B998" s="93" t="s">
        <v>643</v>
      </c>
      <c r="C998" s="53"/>
      <c r="D998" s="53"/>
      <c r="E998" s="53"/>
      <c r="F998" s="54"/>
      <c r="G998" s="84"/>
      <c r="H998" s="84"/>
      <c r="I998" s="112"/>
    </row>
    <row r="999" spans="1:8" ht="13.5" thickBot="1">
      <c r="A999" s="111"/>
      <c r="B999" s="109"/>
      <c r="C999" s="110"/>
      <c r="D999" s="110"/>
      <c r="E999" s="110"/>
      <c r="F999" s="47"/>
      <c r="G999" s="111"/>
      <c r="H999" s="111"/>
    </row>
    <row r="1001" ht="15.75">
      <c r="A1001" s="7" t="s">
        <v>553</v>
      </c>
    </row>
    <row r="1003" ht="12.75">
      <c r="A1003" s="10" t="s">
        <v>655</v>
      </c>
    </row>
    <row r="1004" ht="12.75">
      <c r="A1004" s="10" t="s">
        <v>315</v>
      </c>
    </row>
    <row r="1005" ht="12.75">
      <c r="A1005" s="10" t="s">
        <v>615</v>
      </c>
    </row>
    <row r="1006" ht="12.75">
      <c r="A1006" s="10"/>
    </row>
    <row r="1007" ht="12.75">
      <c r="A1007" s="10" t="s">
        <v>562</v>
      </c>
    </row>
    <row r="1008" ht="12.75">
      <c r="A1008" s="10" t="s">
        <v>563</v>
      </c>
    </row>
    <row r="1009" ht="12.75">
      <c r="A1009" s="10"/>
    </row>
    <row r="1010" ht="12.75">
      <c r="A1010" s="10" t="s">
        <v>314</v>
      </c>
    </row>
    <row r="1011" ht="12.75">
      <c r="A1011" s="10" t="s">
        <v>318</v>
      </c>
    </row>
    <row r="1012" ht="12.75">
      <c r="A1012" s="10"/>
    </row>
    <row r="1013" ht="12.75">
      <c r="A1013" s="10" t="s">
        <v>564</v>
      </c>
    </row>
    <row r="1014" ht="12.75">
      <c r="A1014" s="10" t="s">
        <v>565</v>
      </c>
    </row>
    <row r="1015" ht="12.75">
      <c r="A1015" s="10"/>
    </row>
    <row r="1016" ht="12.75">
      <c r="A1016" s="10" t="s">
        <v>319</v>
      </c>
    </row>
    <row r="1017" ht="12.75">
      <c r="A1017" s="10" t="s">
        <v>658</v>
      </c>
    </row>
    <row r="1018" ht="12.75">
      <c r="A1018" s="10" t="s">
        <v>566</v>
      </c>
    </row>
    <row r="1019" ht="12.75">
      <c r="A1019" s="10" t="s">
        <v>567</v>
      </c>
    </row>
    <row r="1020" ht="12.75">
      <c r="A1020" s="10" t="s">
        <v>568</v>
      </c>
    </row>
    <row r="1022" ht="12.75">
      <c r="A1022" s="10" t="s">
        <v>569</v>
      </c>
    </row>
    <row r="1023" ht="12.75">
      <c r="A1023" s="10" t="s">
        <v>570</v>
      </c>
    </row>
    <row r="1024" ht="12.75">
      <c r="A1024" s="10" t="s">
        <v>659</v>
      </c>
    </row>
    <row r="1025" ht="12.75">
      <c r="A1025" s="10"/>
    </row>
    <row r="1026" ht="12.75">
      <c r="A1026" s="10" t="s">
        <v>735</v>
      </c>
    </row>
    <row r="1027" ht="13.5" thickBot="1">
      <c r="A1027" s="10"/>
    </row>
    <row r="1028" spans="3:9" ht="13.5" thickBot="1">
      <c r="C1028" t="s">
        <v>69</v>
      </c>
      <c r="D1028" s="172" t="s">
        <v>68</v>
      </c>
      <c r="E1028" s="30"/>
      <c r="F1028" s="172" t="s">
        <v>70</v>
      </c>
      <c r="G1028" s="30"/>
      <c r="H1028" s="172" t="s">
        <v>71</v>
      </c>
      <c r="I1028" s="30"/>
    </row>
    <row r="1029" spans="4:9" ht="12.75">
      <c r="D1029" s="182" t="s">
        <v>285</v>
      </c>
      <c r="E1029" s="182" t="s">
        <v>285</v>
      </c>
      <c r="F1029" s="182" t="s">
        <v>285</v>
      </c>
      <c r="G1029" s="182" t="s">
        <v>285</v>
      </c>
      <c r="H1029" s="182" t="s">
        <v>285</v>
      </c>
      <c r="I1029" s="182" t="s">
        <v>285</v>
      </c>
    </row>
    <row r="1030" spans="4:9" ht="12.75">
      <c r="D1030" s="183" t="s">
        <v>286</v>
      </c>
      <c r="E1030" s="183" t="s">
        <v>288</v>
      </c>
      <c r="F1030" s="183" t="s">
        <v>286</v>
      </c>
      <c r="G1030" s="183" t="s">
        <v>288</v>
      </c>
      <c r="H1030" s="183" t="s">
        <v>286</v>
      </c>
      <c r="I1030" s="183" t="s">
        <v>288</v>
      </c>
    </row>
    <row r="1031" spans="4:9" ht="13.5" thickBot="1">
      <c r="D1031" s="184" t="s">
        <v>287</v>
      </c>
      <c r="E1031" s="184" t="s">
        <v>287</v>
      </c>
      <c r="F1031" s="184" t="s">
        <v>287</v>
      </c>
      <c r="G1031" s="184" t="s">
        <v>287</v>
      </c>
      <c r="H1031" s="184" t="s">
        <v>287</v>
      </c>
      <c r="I1031" s="184" t="s">
        <v>287</v>
      </c>
    </row>
    <row r="1032" spans="1:9" ht="13.5" thickBot="1">
      <c r="A1032" t="s">
        <v>66</v>
      </c>
      <c r="D1032" s="180">
        <v>0.009566668926362048</v>
      </c>
      <c r="E1032" s="180">
        <v>0.010192642323140605</v>
      </c>
      <c r="F1032" s="180">
        <v>0.009566668926362048</v>
      </c>
      <c r="G1032" s="180">
        <v>0.010192642323140605</v>
      </c>
      <c r="H1032" s="180">
        <v>0.009566668926362048</v>
      </c>
      <c r="I1032" s="180">
        <v>0.010192642323140605</v>
      </c>
    </row>
    <row r="1033" spans="1:9" ht="13.5" thickBot="1">
      <c r="A1033" t="s">
        <v>67</v>
      </c>
      <c r="D1033" s="180">
        <v>0.007536126128832709</v>
      </c>
      <c r="E1033" s="180">
        <v>0.007536126128832709</v>
      </c>
      <c r="F1033" s="180">
        <v>0.009564483303425844</v>
      </c>
      <c r="G1033" s="180">
        <v>0.011561839076893479</v>
      </c>
      <c r="H1033" s="180">
        <v>0.009568790389227304</v>
      </c>
      <c r="I1033" s="180">
        <v>0.016615453178660717</v>
      </c>
    </row>
    <row r="1034" spans="4:9" ht="13.5" thickBot="1">
      <c r="D1034" s="60"/>
      <c r="E1034" s="60"/>
      <c r="F1034" s="60"/>
      <c r="G1034" s="60"/>
      <c r="H1034" s="60"/>
      <c r="I1034" s="60"/>
    </row>
    <row r="1035" spans="1:9" ht="13.5" thickBot="1">
      <c r="A1035" t="s">
        <v>72</v>
      </c>
      <c r="D1035" s="175">
        <v>1977.4165</v>
      </c>
      <c r="E1035" s="175"/>
      <c r="F1035" s="175">
        <v>1977.4165</v>
      </c>
      <c r="G1035" s="175"/>
      <c r="H1035" s="175">
        <v>1977.4165</v>
      </c>
      <c r="I1035" s="175"/>
    </row>
    <row r="1036" spans="2:9" ht="12.75">
      <c r="B1036" s="10" t="s">
        <v>133</v>
      </c>
      <c r="D1036" s="60"/>
      <c r="E1036" s="60"/>
      <c r="F1036" s="60"/>
      <c r="G1036" s="60"/>
      <c r="H1036" s="60"/>
      <c r="I1036" s="60"/>
    </row>
    <row r="1037" spans="2:9" ht="12.75">
      <c r="B1037" s="10" t="s">
        <v>315</v>
      </c>
      <c r="D1037" s="60"/>
      <c r="E1037" s="60"/>
      <c r="F1037" s="60"/>
      <c r="G1037" s="60"/>
      <c r="H1037" s="60"/>
      <c r="I1037" s="60"/>
    </row>
    <row r="1038" spans="2:9" ht="12.75">
      <c r="B1038" s="10" t="s">
        <v>615</v>
      </c>
      <c r="D1038" s="60"/>
      <c r="E1038" s="60"/>
      <c r="F1038" s="60"/>
      <c r="G1038" s="60"/>
      <c r="H1038" s="60"/>
      <c r="I1038" s="60"/>
    </row>
    <row r="1040" ht="12.75">
      <c r="A1040" s="10"/>
    </row>
    <row r="1041" ht="15.75">
      <c r="A1041" s="3" t="s">
        <v>302</v>
      </c>
    </row>
    <row r="1042" ht="12.75">
      <c r="A1042" t="s">
        <v>303</v>
      </c>
    </row>
    <row r="1043" ht="12.75">
      <c r="A1043" t="s">
        <v>304</v>
      </c>
    </row>
    <row r="1044" ht="12.75">
      <c r="A1044" t="s">
        <v>230</v>
      </c>
    </row>
    <row r="1045" ht="12.75">
      <c r="A1045" t="s">
        <v>305</v>
      </c>
    </row>
    <row r="1047" ht="12.75" customHeight="1">
      <c r="A1047" t="s">
        <v>222</v>
      </c>
    </row>
    <row r="1048" ht="12.75">
      <c r="A1048" t="s">
        <v>223</v>
      </c>
    </row>
    <row r="1050" spans="1:12" ht="12.75">
      <c r="A1050" s="222" t="s">
        <v>8</v>
      </c>
      <c r="B1050" s="223"/>
      <c r="C1050" s="223"/>
      <c r="D1050" s="223"/>
      <c r="E1050" s="223"/>
      <c r="F1050" s="223"/>
      <c r="G1050" s="223"/>
      <c r="H1050" s="223"/>
      <c r="I1050" s="223"/>
      <c r="J1050" s="223"/>
      <c r="K1050" s="223"/>
      <c r="L1050" s="223"/>
    </row>
    <row r="1051" ht="12.75">
      <c r="A1051" t="s">
        <v>81</v>
      </c>
    </row>
    <row r="1053" spans="1:9" ht="12.75" customHeight="1">
      <c r="A1053" s="222" t="s">
        <v>141</v>
      </c>
      <c r="B1053" s="223"/>
      <c r="C1053" s="223"/>
      <c r="D1053" s="223"/>
      <c r="E1053" s="223"/>
      <c r="F1053" s="223"/>
      <c r="G1053" s="223"/>
      <c r="H1053" s="223"/>
      <c r="I1053" s="223"/>
    </row>
    <row r="1055" spans="1:5" ht="12.75">
      <c r="A1055" s="171" t="s">
        <v>374</v>
      </c>
      <c r="B1055" s="10"/>
      <c r="C1055" s="10"/>
      <c r="D1055" s="10"/>
      <c r="E1055" s="10"/>
    </row>
    <row r="1056" spans="1:5" ht="12.75">
      <c r="A1056" s="10" t="s">
        <v>375</v>
      </c>
      <c r="B1056" s="10"/>
      <c r="C1056" s="10"/>
      <c r="D1056" s="10"/>
      <c r="E1056" s="10"/>
    </row>
    <row r="1057" spans="1:5" ht="12.75">
      <c r="A1057" s="10" t="s">
        <v>376</v>
      </c>
      <c r="B1057" s="10"/>
      <c r="C1057" s="10"/>
      <c r="D1057" s="10"/>
      <c r="E1057" s="10"/>
    </row>
    <row r="1058" spans="1:5" ht="12.75">
      <c r="A1058" s="10" t="s">
        <v>378</v>
      </c>
      <c r="B1058" s="10"/>
      <c r="C1058" s="10"/>
      <c r="D1058" s="10"/>
      <c r="E1058" s="10"/>
    </row>
    <row r="1059" spans="1:5" ht="12.75">
      <c r="A1059" s="10" t="s">
        <v>379</v>
      </c>
      <c r="B1059" s="10"/>
      <c r="C1059" s="10"/>
      <c r="D1059" s="10"/>
      <c r="E1059" s="10"/>
    </row>
    <row r="1060" spans="1:5" ht="12.75">
      <c r="A1060" s="10" t="s">
        <v>380</v>
      </c>
      <c r="B1060" s="10"/>
      <c r="C1060" s="10"/>
      <c r="D1060" s="10"/>
      <c r="E1060" s="10"/>
    </row>
    <row r="1061" spans="1:5" ht="12.75">
      <c r="A1061" s="10"/>
      <c r="B1061" s="10"/>
      <c r="C1061" s="10"/>
      <c r="D1061" s="10"/>
      <c r="E1061" s="10"/>
    </row>
    <row r="1062" spans="1:5" ht="12.75">
      <c r="A1062" s="10" t="s">
        <v>381</v>
      </c>
      <c r="B1062" s="10"/>
      <c r="C1062" s="10"/>
      <c r="D1062" s="10"/>
      <c r="E1062" s="10"/>
    </row>
    <row r="1063" spans="1:5" ht="12.75">
      <c r="A1063" s="10" t="s">
        <v>382</v>
      </c>
      <c r="B1063" s="10"/>
      <c r="C1063" s="10"/>
      <c r="D1063" s="10"/>
      <c r="E1063" s="10"/>
    </row>
    <row r="1064" spans="1:5" ht="12.75">
      <c r="A1064" s="10" t="s">
        <v>383</v>
      </c>
      <c r="B1064" s="10"/>
      <c r="C1064" s="10"/>
      <c r="D1064" s="10"/>
      <c r="E1064" s="10"/>
    </row>
    <row r="1065" spans="1:5" ht="12.75">
      <c r="A1065" s="10" t="s">
        <v>623</v>
      </c>
      <c r="B1065" s="10"/>
      <c r="C1065" s="10"/>
      <c r="D1065" s="10"/>
      <c r="E1065" s="10"/>
    </row>
    <row r="1066" spans="1:5" ht="12.75">
      <c r="A1066" s="10" t="s">
        <v>384</v>
      </c>
      <c r="B1066" s="10"/>
      <c r="C1066" s="10"/>
      <c r="D1066" s="10"/>
      <c r="E1066" s="10"/>
    </row>
    <row r="1067" spans="1:5" ht="12.75">
      <c r="A1067" s="10"/>
      <c r="B1067" s="10"/>
      <c r="C1067" s="10"/>
      <c r="D1067" s="10"/>
      <c r="E1067" s="10"/>
    </row>
    <row r="1068" spans="1:5" ht="12.75">
      <c r="A1068" s="10" t="s">
        <v>385</v>
      </c>
      <c r="B1068" s="10"/>
      <c r="C1068" s="10"/>
      <c r="D1068" s="10"/>
      <c r="E1068" s="10"/>
    </row>
    <row r="1069" spans="1:5" ht="12.75">
      <c r="A1069" s="10" t="s">
        <v>386</v>
      </c>
      <c r="B1069" s="10"/>
      <c r="C1069" s="10"/>
      <c r="D1069" s="10"/>
      <c r="E1069" s="10"/>
    </row>
    <row r="1070" spans="1:5" ht="12.75">
      <c r="A1070" s="10" t="s">
        <v>387</v>
      </c>
      <c r="B1070" s="10"/>
      <c r="C1070" s="10"/>
      <c r="D1070" s="10"/>
      <c r="E1070" s="10"/>
    </row>
    <row r="1071" spans="1:5" ht="12.75">
      <c r="A1071" s="10" t="s">
        <v>388</v>
      </c>
      <c r="B1071" s="10"/>
      <c r="C1071" s="10"/>
      <c r="D1071" s="10"/>
      <c r="E1071" s="10"/>
    </row>
    <row r="1072" spans="1:5" ht="12.75">
      <c r="A1072" s="10" t="s">
        <v>389</v>
      </c>
      <c r="B1072" s="10"/>
      <c r="C1072" s="10"/>
      <c r="D1072" s="10"/>
      <c r="E1072" s="10"/>
    </row>
    <row r="1073" spans="1:5" ht="12.75">
      <c r="A1073" s="10" t="s">
        <v>390</v>
      </c>
      <c r="B1073" s="10"/>
      <c r="C1073" s="10"/>
      <c r="D1073" s="10"/>
      <c r="E1073" s="10"/>
    </row>
    <row r="1074" spans="1:5" ht="12.75">
      <c r="A1074" s="10" t="s">
        <v>391</v>
      </c>
      <c r="B1074" s="10"/>
      <c r="C1074" s="10"/>
      <c r="D1074" s="10"/>
      <c r="E1074" s="10"/>
    </row>
    <row r="1075" spans="1:5" ht="12.75">
      <c r="A1075" s="10" t="s">
        <v>392</v>
      </c>
      <c r="B1075" s="10"/>
      <c r="C1075" s="10"/>
      <c r="D1075" s="10"/>
      <c r="E1075" s="10"/>
    </row>
    <row r="1076" spans="1:5" ht="12.75">
      <c r="A1076" s="10"/>
      <c r="B1076" s="10"/>
      <c r="C1076" s="10"/>
      <c r="D1076" s="10"/>
      <c r="E1076" s="10"/>
    </row>
    <row r="1077" spans="1:5" ht="12.75">
      <c r="A1077" s="10" t="s">
        <v>231</v>
      </c>
      <c r="B1077" s="10"/>
      <c r="C1077" s="10"/>
      <c r="D1077" s="10"/>
      <c r="E1077" s="10"/>
    </row>
    <row r="1078" spans="1:5" ht="12.75">
      <c r="A1078" s="10" t="s">
        <v>393</v>
      </c>
      <c r="B1078" s="10"/>
      <c r="C1078" s="10"/>
      <c r="D1078" s="10"/>
      <c r="E1078" s="10"/>
    </row>
    <row r="1079" spans="1:5" ht="12.75">
      <c r="A1079" s="10" t="s">
        <v>394</v>
      </c>
      <c r="B1079" s="10"/>
      <c r="C1079" s="10"/>
      <c r="D1079" s="10"/>
      <c r="E1079" s="10"/>
    </row>
    <row r="1080" spans="1:5" ht="12.75">
      <c r="A1080" s="10" t="s">
        <v>395</v>
      </c>
      <c r="B1080" s="10"/>
      <c r="C1080" s="10"/>
      <c r="D1080" s="10"/>
      <c r="E1080" s="10"/>
    </row>
    <row r="1081" spans="1:5" ht="12.75">
      <c r="A1081" s="10" t="s">
        <v>233</v>
      </c>
      <c r="B1081" s="10"/>
      <c r="C1081" s="10"/>
      <c r="D1081" s="10"/>
      <c r="E1081" s="10"/>
    </row>
    <row r="1082" spans="1:5" ht="12.75">
      <c r="A1082" s="10" t="s">
        <v>232</v>
      </c>
      <c r="B1082" s="10"/>
      <c r="C1082" s="10"/>
      <c r="D1082" s="10"/>
      <c r="E1082" s="10"/>
    </row>
    <row r="1083" spans="1:5" ht="12.75">
      <c r="A1083" s="10"/>
      <c r="B1083" s="10"/>
      <c r="C1083" s="10"/>
      <c r="D1083" s="10"/>
      <c r="E1083" s="10"/>
    </row>
    <row r="1084" spans="1:5" ht="12.75">
      <c r="A1084" s="10" t="s">
        <v>396</v>
      </c>
      <c r="B1084" s="10"/>
      <c r="C1084" s="10"/>
      <c r="D1084" s="10"/>
      <c r="E1084" s="10"/>
    </row>
    <row r="1085" spans="1:5" ht="12.75">
      <c r="A1085" s="10" t="s">
        <v>397</v>
      </c>
      <c r="B1085" s="10"/>
      <c r="C1085" s="10"/>
      <c r="D1085" s="10"/>
      <c r="E1085" s="10"/>
    </row>
    <row r="1086" spans="1:5" ht="12.75">
      <c r="A1086" s="10" t="s">
        <v>398</v>
      </c>
      <c r="B1086" s="10"/>
      <c r="C1086" s="10"/>
      <c r="D1086" s="10"/>
      <c r="E1086" s="10"/>
    </row>
    <row r="1087" spans="1:5" ht="12.75">
      <c r="A1087" s="10" t="s">
        <v>399</v>
      </c>
      <c r="B1087" s="10"/>
      <c r="C1087" s="10"/>
      <c r="D1087" s="10"/>
      <c r="E1087" s="10"/>
    </row>
    <row r="1088" spans="1:5" ht="12.75">
      <c r="A1088" s="10" t="s">
        <v>400</v>
      </c>
      <c r="B1088" s="10"/>
      <c r="C1088" s="10"/>
      <c r="D1088" s="10"/>
      <c r="E1088" s="10"/>
    </row>
    <row r="1089" spans="1:5" ht="12.75">
      <c r="A1089" s="10" t="s">
        <v>401</v>
      </c>
      <c r="B1089" s="10"/>
      <c r="C1089" s="10"/>
      <c r="D1089" s="10"/>
      <c r="E1089" s="10"/>
    </row>
    <row r="1090" spans="1:5" ht="12.75">
      <c r="A1090" s="10"/>
      <c r="B1090" s="10"/>
      <c r="C1090" s="10"/>
      <c r="D1090" s="10"/>
      <c r="E1090" s="10"/>
    </row>
    <row r="1091" spans="1:5" ht="12.75">
      <c r="A1091" s="10" t="s">
        <v>402</v>
      </c>
      <c r="B1091" s="10"/>
      <c r="C1091" s="10"/>
      <c r="D1091" s="10"/>
      <c r="E1091" s="10"/>
    </row>
    <row r="1092" spans="1:5" ht="12.75">
      <c r="A1092" s="10" t="s">
        <v>403</v>
      </c>
      <c r="B1092" s="10"/>
      <c r="C1092" s="10"/>
      <c r="D1092" s="10"/>
      <c r="E1092" s="10"/>
    </row>
    <row r="1093" spans="1:5" ht="12.75">
      <c r="A1093" s="10" t="s">
        <v>404</v>
      </c>
      <c r="B1093" s="10"/>
      <c r="C1093" s="10"/>
      <c r="D1093" s="10"/>
      <c r="E1093" s="10"/>
    </row>
    <row r="1094" spans="1:5" ht="12.75">
      <c r="A1094" s="10" t="s">
        <v>405</v>
      </c>
      <c r="B1094" s="10"/>
      <c r="C1094" s="10"/>
      <c r="D1094" s="10"/>
      <c r="E1094" s="10"/>
    </row>
    <row r="1095" spans="1:5" ht="12.75">
      <c r="A1095" s="10" t="s">
        <v>406</v>
      </c>
      <c r="B1095" s="10"/>
      <c r="C1095" s="10"/>
      <c r="D1095" s="10"/>
      <c r="E1095" s="10"/>
    </row>
    <row r="1096" spans="1:5" ht="12.75">
      <c r="A1096" s="10" t="s">
        <v>407</v>
      </c>
      <c r="B1096" s="10"/>
      <c r="C1096" s="10"/>
      <c r="D1096" s="10"/>
      <c r="E1096" s="10"/>
    </row>
    <row r="1097" spans="1:5" ht="12.75">
      <c r="A1097" s="10" t="s">
        <v>408</v>
      </c>
      <c r="B1097" s="10"/>
      <c r="C1097" s="10"/>
      <c r="D1097" s="10"/>
      <c r="E1097" s="10"/>
    </row>
    <row r="1098" spans="1:5" ht="12.75">
      <c r="A1098" s="10"/>
      <c r="B1098" s="10"/>
      <c r="C1098" s="10"/>
      <c r="D1098" s="10"/>
      <c r="E1098" s="10"/>
    </row>
    <row r="1099" spans="1:5" ht="12.75">
      <c r="A1099" s="10" t="s">
        <v>409</v>
      </c>
      <c r="B1099" s="10"/>
      <c r="C1099" s="10"/>
      <c r="D1099" s="10"/>
      <c r="E1099" s="10"/>
    </row>
    <row r="1100" spans="1:5" ht="12.75">
      <c r="A1100" s="10" t="s">
        <v>410</v>
      </c>
      <c r="B1100" s="10"/>
      <c r="C1100" s="10"/>
      <c r="D1100" s="10"/>
      <c r="E1100" s="10"/>
    </row>
    <row r="1101" spans="1:5" ht="12.75">
      <c r="A1101" s="10" t="s">
        <v>411</v>
      </c>
      <c r="B1101" s="10"/>
      <c r="C1101" s="10"/>
      <c r="D1101" s="10"/>
      <c r="E1101" s="10"/>
    </row>
    <row r="1102" spans="1:5" ht="12.75">
      <c r="A1102" s="10" t="s">
        <v>412</v>
      </c>
      <c r="B1102" s="10"/>
      <c r="C1102" s="10"/>
      <c r="D1102" s="10"/>
      <c r="E1102" s="10"/>
    </row>
    <row r="1103" spans="1:5" ht="12.75">
      <c r="A1103" s="10" t="s">
        <v>413</v>
      </c>
      <c r="B1103" s="10"/>
      <c r="C1103" s="10"/>
      <c r="D1103" s="10"/>
      <c r="E1103" s="10"/>
    </row>
    <row r="1104" spans="1:5" ht="12.75">
      <c r="A1104" s="10" t="s">
        <v>414</v>
      </c>
      <c r="B1104" s="10"/>
      <c r="C1104" s="10"/>
      <c r="D1104" s="10"/>
      <c r="E1104" s="10"/>
    </row>
    <row r="1105" spans="1:5" ht="12.75">
      <c r="A1105" s="10"/>
      <c r="B1105" s="10"/>
      <c r="C1105" s="10"/>
      <c r="D1105" s="10"/>
      <c r="E1105" s="10"/>
    </row>
    <row r="1106" spans="2:5" ht="12.75">
      <c r="B1106" s="186" t="s">
        <v>512</v>
      </c>
      <c r="C1106" s="10"/>
      <c r="D1106" s="10"/>
      <c r="E1106" s="10"/>
    </row>
    <row r="1107" spans="1:5" ht="12.75">
      <c r="A1107" s="10"/>
      <c r="B1107" s="186" t="s">
        <v>192</v>
      </c>
      <c r="C1107" s="10"/>
      <c r="D1107" s="10"/>
      <c r="E1107" s="10"/>
    </row>
    <row r="1108" spans="1:5" ht="12.75">
      <c r="A1108" s="10"/>
      <c r="B1108" s="10"/>
      <c r="C1108" s="10"/>
      <c r="D1108" s="10"/>
      <c r="E1108" s="10"/>
    </row>
    <row r="1109" spans="1:5" ht="12.75">
      <c r="A1109" s="10" t="s">
        <v>415</v>
      </c>
      <c r="B1109" s="10"/>
      <c r="C1109" s="10"/>
      <c r="D1109" s="10"/>
      <c r="E1109" s="10"/>
    </row>
    <row r="1110" spans="1:5" ht="12.75">
      <c r="A1110" s="10" t="s">
        <v>416</v>
      </c>
      <c r="B1110" s="10"/>
      <c r="C1110" s="10"/>
      <c r="D1110" s="10"/>
      <c r="E1110" s="10"/>
    </row>
    <row r="1111" spans="1:5" ht="12.75">
      <c r="A1111" s="10" t="s">
        <v>417</v>
      </c>
      <c r="B1111" s="10"/>
      <c r="C1111" s="10"/>
      <c r="D1111" s="10"/>
      <c r="E1111" s="10"/>
    </row>
    <row r="1112" spans="1:5" ht="12.75">
      <c r="A1112" s="10" t="s">
        <v>418</v>
      </c>
      <c r="B1112" s="10"/>
      <c r="C1112" s="10"/>
      <c r="D1112" s="10"/>
      <c r="E1112" s="10"/>
    </row>
    <row r="1113" spans="1:5" ht="12.75">
      <c r="A1113" s="10" t="s">
        <v>419</v>
      </c>
      <c r="B1113" s="10"/>
      <c r="C1113" s="10"/>
      <c r="D1113" s="10"/>
      <c r="E1113" s="10"/>
    </row>
    <row r="1114" spans="1:5" ht="12.75">
      <c r="A1114" s="10" t="s">
        <v>420</v>
      </c>
      <c r="B1114" s="10"/>
      <c r="C1114" s="10"/>
      <c r="D1114" s="10"/>
      <c r="E1114" s="10"/>
    </row>
    <row r="1115" spans="1:5" ht="12.75">
      <c r="A1115" s="10" t="s">
        <v>421</v>
      </c>
      <c r="B1115" s="10"/>
      <c r="C1115" s="10"/>
      <c r="D1115" s="10"/>
      <c r="E1115" s="10"/>
    </row>
    <row r="1116" spans="1:5" ht="12.75">
      <c r="A1116" s="10" t="s">
        <v>422</v>
      </c>
      <c r="B1116" s="10"/>
      <c r="C1116" s="10"/>
      <c r="D1116" s="10"/>
      <c r="E1116" s="10"/>
    </row>
    <row r="1117" spans="1:5" ht="12.75">
      <c r="A1117" s="10" t="s">
        <v>423</v>
      </c>
      <c r="B1117" s="10"/>
      <c r="C1117" s="10"/>
      <c r="D1117" s="10"/>
      <c r="E1117" s="10"/>
    </row>
    <row r="1118" spans="1:5" ht="12.75">
      <c r="A1118" s="10" t="s">
        <v>424</v>
      </c>
      <c r="B1118" s="10"/>
      <c r="C1118" s="10"/>
      <c r="D1118" s="10"/>
      <c r="E1118" s="10"/>
    </row>
    <row r="1119" spans="1:5" ht="12.75">
      <c r="A1119" s="10" t="s">
        <v>425</v>
      </c>
      <c r="B1119" s="10"/>
      <c r="C1119" s="10"/>
      <c r="D1119" s="10"/>
      <c r="E1119" s="10"/>
    </row>
    <row r="1120" spans="1:5" ht="12.75">
      <c r="A1120" s="10"/>
      <c r="B1120" s="10"/>
      <c r="C1120" s="10"/>
      <c r="D1120" s="10"/>
      <c r="E1120" s="10"/>
    </row>
    <row r="1121" spans="1:5" ht="12.75">
      <c r="A1121" s="10" t="s">
        <v>426</v>
      </c>
      <c r="B1121" s="10"/>
      <c r="C1121" s="10"/>
      <c r="D1121" s="10"/>
      <c r="E1121" s="10"/>
    </row>
    <row r="1122" spans="1:5" ht="12.75">
      <c r="A1122" s="10" t="s">
        <v>427</v>
      </c>
      <c r="B1122" s="10"/>
      <c r="C1122" s="10"/>
      <c r="D1122" s="10"/>
      <c r="E1122" s="10"/>
    </row>
    <row r="1123" spans="1:5" ht="12.75">
      <c r="A1123" s="10" t="s">
        <v>428</v>
      </c>
      <c r="B1123" s="10"/>
      <c r="C1123" s="10"/>
      <c r="D1123" s="10"/>
      <c r="E1123" s="10"/>
    </row>
    <row r="1124" ht="12.75">
      <c r="A1124" s="10" t="s">
        <v>429</v>
      </c>
    </row>
    <row r="1125" ht="12.75">
      <c r="A1125" s="10" t="s">
        <v>625</v>
      </c>
    </row>
    <row r="1126" ht="12.75">
      <c r="A1126" s="10"/>
    </row>
    <row r="1128" ht="12.75">
      <c r="A1128" s="10" t="s">
        <v>430</v>
      </c>
    </row>
    <row r="1129" ht="12.75">
      <c r="A1129" s="10" t="s">
        <v>431</v>
      </c>
    </row>
    <row r="1130" ht="12.75">
      <c r="A1130" s="10" t="s">
        <v>432</v>
      </c>
    </row>
    <row r="1131" ht="12.75">
      <c r="A1131" s="10" t="s">
        <v>433</v>
      </c>
    </row>
    <row r="1132" ht="12.75">
      <c r="A1132" s="10" t="s">
        <v>434</v>
      </c>
    </row>
    <row r="1133" ht="12.75">
      <c r="A1133" s="10" t="s">
        <v>435</v>
      </c>
    </row>
    <row r="1134" ht="12.75">
      <c r="A1134" s="10" t="s">
        <v>436</v>
      </c>
    </row>
    <row r="1135" ht="12.75">
      <c r="A1135" s="10" t="s">
        <v>437</v>
      </c>
    </row>
    <row r="1136" ht="12.75">
      <c r="A1136" s="162" t="s">
        <v>438</v>
      </c>
    </row>
    <row r="1137" ht="12.75">
      <c r="A1137" s="162"/>
    </row>
    <row r="1138" ht="12.75">
      <c r="A1138" s="10" t="s">
        <v>439</v>
      </c>
    </row>
    <row r="1139" ht="12.75">
      <c r="A1139" s="10" t="s">
        <v>440</v>
      </c>
    </row>
    <row r="1140" ht="12.75">
      <c r="A1140" s="10" t="s">
        <v>441</v>
      </c>
    </row>
    <row r="1141" ht="12.75">
      <c r="A1141" s="10" t="s">
        <v>442</v>
      </c>
    </row>
    <row r="1142" ht="12.75">
      <c r="A1142" s="10" t="s">
        <v>443</v>
      </c>
    </row>
    <row r="1143" ht="12.75">
      <c r="A1143" s="10"/>
    </row>
  </sheetData>
  <mergeCells count="15">
    <mergeCell ref="A55:J55"/>
    <mergeCell ref="A84:I84"/>
    <mergeCell ref="A234:J234"/>
    <mergeCell ref="A296:J296"/>
    <mergeCell ref="B332:K332"/>
    <mergeCell ref="A408:J408"/>
    <mergeCell ref="B437:K437"/>
    <mergeCell ref="B438:K438"/>
    <mergeCell ref="A808:I808"/>
    <mergeCell ref="A1050:L1050"/>
    <mergeCell ref="A1053:I1053"/>
    <mergeCell ref="B443:K443"/>
    <mergeCell ref="A551:J551"/>
    <mergeCell ref="A552:I552"/>
    <mergeCell ref="A564:J564"/>
  </mergeCells>
  <hyperlinks>
    <hyperlink ref="B6" r:id="rId1" display="http://www.trinity.edu/~rjensen/acct5341/133spraos.htm#http://www.trinity.edu/~rjensen/acct5341/speakers/133spraos.htm "/>
    <hyperlink ref="A1136" r:id="rId2" display="http://www.aicpa.org/pubs/jofa/joaiss.htm"/>
  </hyperlinks>
  <printOptions/>
  <pageMargins left="0.75" right="0.75" top="1" bottom="1" header="0.5" footer="0.5"/>
  <pageSetup orientation="portrait" paperSize="9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1"/>
  <sheetViews>
    <sheetView workbookViewId="0" topLeftCell="A1">
      <selection activeCell="A1" sqref="A1"/>
    </sheetView>
  </sheetViews>
  <sheetFormatPr defaultColWidth="9.140625" defaultRowHeight="12.75"/>
  <cols>
    <col min="2" max="3" width="9.140625" style="168" customWidth="1"/>
    <col min="4" max="4" width="10.140625" style="0" customWidth="1"/>
    <col min="5" max="5" width="10.7109375" style="0" bestFit="1" customWidth="1"/>
    <col min="6" max="6" width="10.7109375" style="0" customWidth="1"/>
    <col min="7" max="8" width="11.140625" style="0" bestFit="1" customWidth="1"/>
    <col min="9" max="9" width="16.7109375" style="0" bestFit="1" customWidth="1"/>
    <col min="10" max="10" width="13.28125" style="0" bestFit="1" customWidth="1"/>
  </cols>
  <sheetData>
    <row r="1" spans="1:2" ht="12.75">
      <c r="A1" t="s">
        <v>478</v>
      </c>
      <c r="B1" s="168" t="s">
        <v>479</v>
      </c>
    </row>
    <row r="3" ht="12.75">
      <c r="A3" t="s">
        <v>128</v>
      </c>
    </row>
    <row r="5" spans="1:3" ht="12.75">
      <c r="A5" s="168" t="s">
        <v>480</v>
      </c>
      <c r="B5" s="168" t="s">
        <v>480</v>
      </c>
      <c r="C5" s="168" t="s">
        <v>481</v>
      </c>
    </row>
    <row r="6" spans="1:4" ht="12.75">
      <c r="A6" s="168" t="s">
        <v>482</v>
      </c>
      <c r="B6" s="168" t="s">
        <v>483</v>
      </c>
      <c r="C6" s="168" t="s">
        <v>484</v>
      </c>
      <c r="D6" t="s">
        <v>537</v>
      </c>
    </row>
    <row r="8" spans="1:4" ht="12.75">
      <c r="A8" t="s">
        <v>485</v>
      </c>
      <c r="B8" s="168">
        <v>5</v>
      </c>
      <c r="C8" s="168">
        <v>1</v>
      </c>
      <c r="D8" t="s">
        <v>486</v>
      </c>
    </row>
    <row r="9" ht="12.75">
      <c r="D9" t="s">
        <v>487</v>
      </c>
    </row>
    <row r="10" ht="12.75">
      <c r="D10" t="s">
        <v>644</v>
      </c>
    </row>
    <row r="11" ht="12.75">
      <c r="D11" t="s">
        <v>488</v>
      </c>
    </row>
    <row r="12" ht="12.75">
      <c r="D12" t="s">
        <v>489</v>
      </c>
    </row>
    <row r="14" spans="1:3" ht="12.75">
      <c r="A14" s="168" t="s">
        <v>480</v>
      </c>
      <c r="B14" s="168" t="s">
        <v>480</v>
      </c>
      <c r="C14" s="168" t="s">
        <v>481</v>
      </c>
    </row>
    <row r="15" spans="1:3" ht="12.75">
      <c r="A15" s="168" t="s">
        <v>482</v>
      </c>
      <c r="B15" s="168" t="s">
        <v>483</v>
      </c>
      <c r="C15" s="168" t="s">
        <v>484</v>
      </c>
    </row>
    <row r="16" spans="1:4" ht="12.75">
      <c r="A16" t="s">
        <v>485</v>
      </c>
      <c r="B16" s="168">
        <v>7</v>
      </c>
      <c r="C16" s="168">
        <v>2</v>
      </c>
      <c r="D16" t="s">
        <v>490</v>
      </c>
    </row>
    <row r="17" ht="12.75">
      <c r="D17" t="s">
        <v>491</v>
      </c>
    </row>
    <row r="18" ht="12.75">
      <c r="E18" t="s">
        <v>492</v>
      </c>
    </row>
    <row r="19" ht="12.75">
      <c r="E19" t="s">
        <v>493</v>
      </c>
    </row>
    <row r="20" ht="12.75">
      <c r="D20" t="s">
        <v>494</v>
      </c>
    </row>
    <row r="21" ht="12.75">
      <c r="D21" t="s">
        <v>495</v>
      </c>
    </row>
    <row r="22" ht="12.75">
      <c r="E22" t="s">
        <v>496</v>
      </c>
    </row>
    <row r="23" ht="12.75">
      <c r="D23" t="s">
        <v>497</v>
      </c>
    </row>
    <row r="25" spans="1:3" ht="12.75">
      <c r="A25" s="168" t="s">
        <v>480</v>
      </c>
      <c r="B25" s="168" t="s">
        <v>480</v>
      </c>
      <c r="C25" s="168" t="s">
        <v>481</v>
      </c>
    </row>
    <row r="26" spans="1:3" ht="12.75">
      <c r="A26" s="168" t="s">
        <v>482</v>
      </c>
      <c r="B26" s="168" t="s">
        <v>483</v>
      </c>
      <c r="C26" s="168" t="s">
        <v>484</v>
      </c>
    </row>
    <row r="27" spans="1:4" ht="12.75">
      <c r="A27" t="s">
        <v>485</v>
      </c>
      <c r="B27" s="168">
        <v>3</v>
      </c>
      <c r="C27" s="168">
        <v>3</v>
      </c>
      <c r="D27" t="s">
        <v>498</v>
      </c>
    </row>
    <row r="28" ht="12.75">
      <c r="D28" t="s">
        <v>499</v>
      </c>
    </row>
    <row r="30" spans="1:3" ht="12.75">
      <c r="A30" s="168" t="s">
        <v>480</v>
      </c>
      <c r="B30" s="168" t="s">
        <v>480</v>
      </c>
      <c r="C30" s="168" t="s">
        <v>481</v>
      </c>
    </row>
    <row r="31" spans="1:3" ht="12.75">
      <c r="A31" s="168" t="s">
        <v>482</v>
      </c>
      <c r="B31" s="168" t="s">
        <v>483</v>
      </c>
      <c r="C31" s="168" t="s">
        <v>484</v>
      </c>
    </row>
    <row r="32" spans="1:4" ht="12.75">
      <c r="A32" t="s">
        <v>485</v>
      </c>
      <c r="B32" s="168">
        <v>5</v>
      </c>
      <c r="C32" s="168">
        <v>4</v>
      </c>
      <c r="D32" t="s">
        <v>500</v>
      </c>
    </row>
    <row r="33" ht="12.75">
      <c r="E33" t="s">
        <v>501</v>
      </c>
    </row>
    <row r="34" ht="12.75">
      <c r="D34" t="s">
        <v>502</v>
      </c>
    </row>
    <row r="35" ht="12.75">
      <c r="E35" t="s">
        <v>134</v>
      </c>
    </row>
    <row r="36" ht="12.75">
      <c r="E36" t="s">
        <v>135</v>
      </c>
    </row>
    <row r="37" ht="12.75">
      <c r="E37" t="s">
        <v>137</v>
      </c>
    </row>
    <row r="38" spans="4:5" ht="12.75">
      <c r="D38" t="s">
        <v>503</v>
      </c>
      <c r="E38" t="s">
        <v>504</v>
      </c>
    </row>
    <row r="39" ht="12.75">
      <c r="F39" t="s">
        <v>513</v>
      </c>
    </row>
    <row r="40" ht="12.75">
      <c r="F40" t="s">
        <v>514</v>
      </c>
    </row>
    <row r="41" ht="12.75">
      <c r="F41" t="s">
        <v>515</v>
      </c>
    </row>
    <row r="42" ht="12.75">
      <c r="E42" t="s">
        <v>488</v>
      </c>
    </row>
    <row r="43" ht="12.75">
      <c r="E43" t="s">
        <v>489</v>
      </c>
    </row>
    <row r="45" spans="1:3" ht="12.75">
      <c r="A45" s="168" t="s">
        <v>480</v>
      </c>
      <c r="B45" s="168" t="s">
        <v>480</v>
      </c>
      <c r="C45" s="168" t="s">
        <v>481</v>
      </c>
    </row>
    <row r="46" spans="1:3" ht="12.75">
      <c r="A46" s="168" t="s">
        <v>482</v>
      </c>
      <c r="B46" s="168" t="s">
        <v>483</v>
      </c>
      <c r="C46" s="168" t="s">
        <v>484</v>
      </c>
    </row>
    <row r="47" spans="1:4" ht="12.75">
      <c r="A47" t="s">
        <v>485</v>
      </c>
      <c r="B47" s="168">
        <v>5</v>
      </c>
      <c r="C47" s="168">
        <v>5</v>
      </c>
      <c r="D47" t="s">
        <v>517</v>
      </c>
    </row>
    <row r="48" ht="12.75">
      <c r="E48" t="s">
        <v>518</v>
      </c>
    </row>
    <row r="49" ht="12.75">
      <c r="E49" t="s">
        <v>519</v>
      </c>
    </row>
    <row r="50" ht="12.75">
      <c r="D50" t="s">
        <v>520</v>
      </c>
    </row>
    <row r="51" ht="12.75">
      <c r="E51" t="s">
        <v>521</v>
      </c>
    </row>
    <row r="52" ht="12.75">
      <c r="D52" t="s">
        <v>522</v>
      </c>
    </row>
    <row r="54" spans="1:3" ht="12.75">
      <c r="A54" s="168" t="s">
        <v>480</v>
      </c>
      <c r="B54" s="168" t="s">
        <v>480</v>
      </c>
      <c r="C54" s="168" t="s">
        <v>481</v>
      </c>
    </row>
    <row r="55" spans="1:3" ht="12.75">
      <c r="A55" s="168" t="s">
        <v>482</v>
      </c>
      <c r="B55" s="168" t="s">
        <v>483</v>
      </c>
      <c r="C55" s="168" t="s">
        <v>484</v>
      </c>
    </row>
    <row r="56" spans="1:4" ht="12.75">
      <c r="A56" t="s">
        <v>485</v>
      </c>
      <c r="B56" s="168">
        <v>5</v>
      </c>
      <c r="C56" s="168">
        <v>6</v>
      </c>
      <c r="D56" t="s">
        <v>523</v>
      </c>
    </row>
    <row r="57" ht="12.75">
      <c r="E57" t="s">
        <v>524</v>
      </c>
    </row>
    <row r="58" ht="12.75">
      <c r="E58" t="s">
        <v>526</v>
      </c>
    </row>
    <row r="59" ht="12.75">
      <c r="D59" t="s">
        <v>527</v>
      </c>
    </row>
    <row r="60" ht="12.75">
      <c r="E60" t="s">
        <v>528</v>
      </c>
    </row>
    <row r="61" ht="12.75">
      <c r="E61" t="s">
        <v>529</v>
      </c>
    </row>
    <row r="62" ht="12.75">
      <c r="E62" t="s">
        <v>530</v>
      </c>
    </row>
    <row r="63" ht="12.75">
      <c r="E63" t="s">
        <v>531</v>
      </c>
    </row>
    <row r="64" ht="12.75">
      <c r="E64" t="s">
        <v>532</v>
      </c>
    </row>
    <row r="66" spans="1:3" ht="12.75">
      <c r="A66" s="168" t="s">
        <v>480</v>
      </c>
      <c r="B66" s="168" t="s">
        <v>480</v>
      </c>
      <c r="C66" s="168" t="s">
        <v>481</v>
      </c>
    </row>
    <row r="67" spans="1:3" ht="12.75">
      <c r="A67" s="168" t="s">
        <v>482</v>
      </c>
      <c r="B67" s="168" t="s">
        <v>483</v>
      </c>
      <c r="C67" s="168" t="s">
        <v>484</v>
      </c>
    </row>
    <row r="68" spans="1:4" ht="12.75">
      <c r="A68" t="s">
        <v>485</v>
      </c>
      <c r="B68" s="168">
        <v>10</v>
      </c>
      <c r="C68" s="168">
        <v>7</v>
      </c>
      <c r="D68" t="s">
        <v>536</v>
      </c>
    </row>
    <row r="69" ht="12.75" customHeight="1" thickBot="1"/>
    <row r="70" spans="2:9" ht="12.75" customHeight="1" thickTop="1">
      <c r="B70" s="96" t="s">
        <v>668</v>
      </c>
      <c r="C70" s="19" t="s">
        <v>215</v>
      </c>
      <c r="D70" s="125" t="s">
        <v>571</v>
      </c>
      <c r="E70" s="19"/>
      <c r="F70" s="19"/>
      <c r="G70" s="20"/>
      <c r="H70" s="25"/>
      <c r="I70" s="39"/>
    </row>
    <row r="71" spans="2:10" s="10" customFormat="1" ht="12.75" customHeight="1" thickBot="1">
      <c r="B71" s="40" t="s">
        <v>671</v>
      </c>
      <c r="C71" s="16"/>
      <c r="D71" s="124" t="s">
        <v>572</v>
      </c>
      <c r="E71" s="16"/>
      <c r="F71" s="16"/>
      <c r="G71" s="17"/>
      <c r="H71" s="28" t="s">
        <v>669</v>
      </c>
      <c r="I71" s="99" t="s">
        <v>670</v>
      </c>
      <c r="J71" s="11" t="s">
        <v>683</v>
      </c>
    </row>
    <row r="72" spans="2:10" s="10" customFormat="1" ht="12.75" customHeight="1" thickTop="1">
      <c r="B72" s="37" t="s">
        <v>680</v>
      </c>
      <c r="C72" s="48" t="s">
        <v>672</v>
      </c>
      <c r="D72" s="49"/>
      <c r="E72" s="49"/>
      <c r="F72" s="49"/>
      <c r="G72" s="98"/>
      <c r="H72" s="83">
        <v>0</v>
      </c>
      <c r="I72" s="83">
        <v>0</v>
      </c>
      <c r="J72" s="52">
        <v>0</v>
      </c>
    </row>
    <row r="73" spans="2:10" s="10" customFormat="1" ht="12.75" customHeight="1">
      <c r="B73" s="26"/>
      <c r="C73" s="53"/>
      <c r="D73" s="53" t="s">
        <v>673</v>
      </c>
      <c r="E73" s="53"/>
      <c r="F73" s="53"/>
      <c r="G73" s="53"/>
      <c r="H73" s="84">
        <v>0</v>
      </c>
      <c r="I73" s="84">
        <v>0</v>
      </c>
      <c r="J73" s="52">
        <v>0</v>
      </c>
    </row>
    <row r="74" spans="2:10" s="10" customFormat="1" ht="12.75" customHeight="1">
      <c r="B74" s="26"/>
      <c r="C74" s="56" t="s">
        <v>674</v>
      </c>
      <c r="D74" s="53"/>
      <c r="E74" s="53"/>
      <c r="F74" s="53"/>
      <c r="G74" s="53"/>
      <c r="H74" s="84"/>
      <c r="I74" s="84"/>
      <c r="J74" s="52"/>
    </row>
    <row r="75" spans="2:10" s="10" customFormat="1" ht="12.75" customHeight="1">
      <c r="B75" s="26"/>
      <c r="C75" s="53" t="s">
        <v>215</v>
      </c>
      <c r="D75" s="53"/>
      <c r="E75" s="53"/>
      <c r="F75" s="53"/>
      <c r="G75" s="53"/>
      <c r="H75" s="84"/>
      <c r="I75" s="84"/>
      <c r="J75" s="52"/>
    </row>
    <row r="76" spans="2:10" s="10" customFormat="1" ht="12.75" customHeight="1">
      <c r="B76" s="37" t="s">
        <v>681</v>
      </c>
      <c r="C76" s="53" t="s">
        <v>672</v>
      </c>
      <c r="D76" s="53"/>
      <c r="E76" s="53"/>
      <c r="F76" s="53"/>
      <c r="G76" s="53"/>
      <c r="H76" s="84">
        <v>7400000</v>
      </c>
      <c r="I76" s="84">
        <v>0</v>
      </c>
      <c r="J76" s="52">
        <v>7400000</v>
      </c>
    </row>
    <row r="77" spans="2:10" s="10" customFormat="1" ht="12.75" customHeight="1">
      <c r="B77" s="38"/>
      <c r="C77" s="53"/>
      <c r="D77" s="2" t="s">
        <v>320</v>
      </c>
      <c r="E77" s="53"/>
      <c r="F77" s="53"/>
      <c r="G77" s="53"/>
      <c r="H77" s="84">
        <v>0</v>
      </c>
      <c r="I77" s="84">
        <v>7400000</v>
      </c>
      <c r="J77" s="52">
        <v>-7400000</v>
      </c>
    </row>
    <row r="78" spans="2:10" s="10" customFormat="1" ht="12.75" customHeight="1">
      <c r="B78" s="38"/>
      <c r="C78" s="56" t="s">
        <v>295</v>
      </c>
      <c r="D78" s="53"/>
      <c r="E78" s="53"/>
      <c r="F78" s="53"/>
      <c r="G78" s="53"/>
      <c r="H78" s="84"/>
      <c r="I78" s="84"/>
      <c r="J78" s="52"/>
    </row>
    <row r="79" spans="2:10" ht="12.75" customHeight="1">
      <c r="B79" s="38"/>
      <c r="C79" s="53"/>
      <c r="D79" s="53"/>
      <c r="E79" s="53"/>
      <c r="F79" s="53"/>
      <c r="G79" s="53"/>
      <c r="H79" s="84"/>
      <c r="I79" s="84"/>
      <c r="J79" s="52"/>
    </row>
    <row r="80" spans="2:10" ht="12.75" customHeight="1">
      <c r="B80" s="37" t="s">
        <v>681</v>
      </c>
      <c r="C80" s="53" t="s">
        <v>672</v>
      </c>
      <c r="D80" s="53"/>
      <c r="E80" s="53"/>
      <c r="F80" s="53"/>
      <c r="G80" s="53"/>
      <c r="H80" s="84">
        <v>600000</v>
      </c>
      <c r="I80" s="84">
        <v>0</v>
      </c>
      <c r="J80" s="52">
        <v>8000000</v>
      </c>
    </row>
    <row r="81" spans="2:10" ht="12.75" customHeight="1">
      <c r="B81" s="26"/>
      <c r="C81" s="53"/>
      <c r="D81" s="2" t="s">
        <v>320</v>
      </c>
      <c r="E81" s="53"/>
      <c r="F81" s="53"/>
      <c r="G81" s="53"/>
      <c r="H81" s="84">
        <v>0</v>
      </c>
      <c r="I81" s="84">
        <v>600000</v>
      </c>
      <c r="J81" s="52">
        <v>-8000000</v>
      </c>
    </row>
    <row r="82" spans="2:10" s="10" customFormat="1" ht="12.75" customHeight="1">
      <c r="B82" s="26"/>
      <c r="C82" s="56" t="s">
        <v>296</v>
      </c>
      <c r="D82" s="53"/>
      <c r="E82" s="53"/>
      <c r="F82" s="53"/>
      <c r="G82" s="53"/>
      <c r="H82" s="84"/>
      <c r="I82" s="84"/>
      <c r="J82" s="52"/>
    </row>
    <row r="83" spans="2:10" s="10" customFormat="1" ht="12.75" customHeight="1">
      <c r="B83" s="26"/>
      <c r="C83" s="56"/>
      <c r="D83" s="53"/>
      <c r="E83" s="53"/>
      <c r="F83" s="53"/>
      <c r="G83" s="53"/>
      <c r="H83" s="84"/>
      <c r="I83" s="84"/>
      <c r="J83" s="52"/>
    </row>
    <row r="84" spans="2:10" s="10" customFormat="1" ht="12.75" customHeight="1">
      <c r="B84" s="37" t="s">
        <v>681</v>
      </c>
      <c r="C84" s="53" t="s">
        <v>673</v>
      </c>
      <c r="D84" s="53"/>
      <c r="E84" s="53"/>
      <c r="F84" s="53"/>
      <c r="G84" s="54"/>
      <c r="H84" s="84">
        <v>16942276.439911563</v>
      </c>
      <c r="I84" s="84">
        <v>0</v>
      </c>
      <c r="J84" s="52">
        <v>16942276.439911563</v>
      </c>
    </row>
    <row r="85" spans="2:10" ht="12.75" customHeight="1">
      <c r="B85" s="38"/>
      <c r="C85" s="93"/>
      <c r="D85" s="53" t="s">
        <v>675</v>
      </c>
      <c r="E85" s="53"/>
      <c r="F85" s="53"/>
      <c r="G85" s="54"/>
      <c r="H85" s="84">
        <v>0</v>
      </c>
      <c r="I85" s="84">
        <v>16942276.439911563</v>
      </c>
      <c r="J85" s="52">
        <v>-16942276.439911563</v>
      </c>
    </row>
    <row r="86" spans="2:10" ht="12.75" customHeight="1">
      <c r="B86" s="38"/>
      <c r="C86" s="93" t="s">
        <v>458</v>
      </c>
      <c r="D86" s="53"/>
      <c r="E86" s="53"/>
      <c r="F86" s="53"/>
      <c r="G86" s="54"/>
      <c r="H86" s="84"/>
      <c r="I86" s="84"/>
      <c r="J86" s="52"/>
    </row>
    <row r="87" spans="2:10" ht="12.75" customHeight="1">
      <c r="B87" s="26"/>
      <c r="C87" s="56"/>
      <c r="D87" s="53"/>
      <c r="E87" s="53"/>
      <c r="F87" s="53"/>
      <c r="G87" s="53"/>
      <c r="H87" s="84"/>
      <c r="I87" s="84"/>
      <c r="J87" s="52"/>
    </row>
    <row r="88" spans="2:10" ht="12.75" customHeight="1">
      <c r="B88" s="37" t="s">
        <v>681</v>
      </c>
      <c r="C88" s="2" t="s">
        <v>320</v>
      </c>
      <c r="D88" s="53"/>
      <c r="E88" s="53"/>
      <c r="F88" s="53"/>
      <c r="G88" s="53"/>
      <c r="H88" s="84">
        <v>8000000</v>
      </c>
      <c r="I88" s="84">
        <v>0</v>
      </c>
      <c r="J88" s="52">
        <v>0</v>
      </c>
    </row>
    <row r="89" spans="2:10" ht="12.75" customHeight="1">
      <c r="B89" s="26"/>
      <c r="C89" s="56"/>
      <c r="D89" s="53" t="s">
        <v>679</v>
      </c>
      <c r="E89" s="53"/>
      <c r="F89" s="53"/>
      <c r="G89" s="53"/>
      <c r="H89" s="84">
        <v>0</v>
      </c>
      <c r="I89" s="84">
        <v>8000000</v>
      </c>
      <c r="J89" s="52">
        <v>-8000000</v>
      </c>
    </row>
    <row r="90" spans="2:10" ht="12.75">
      <c r="B90" s="26"/>
      <c r="C90" s="56" t="s">
        <v>642</v>
      </c>
      <c r="D90" s="53"/>
      <c r="E90" s="53"/>
      <c r="F90" s="53"/>
      <c r="G90" s="53"/>
      <c r="H90" s="84"/>
      <c r="I90" s="84"/>
      <c r="J90" s="57"/>
    </row>
    <row r="91" spans="2:10" ht="13.5" thickBot="1">
      <c r="B91" s="27"/>
      <c r="C91" s="33"/>
      <c r="D91" s="34"/>
      <c r="E91" s="34"/>
      <c r="F91" s="34"/>
      <c r="G91" s="34"/>
      <c r="H91" s="97"/>
      <c r="I91" s="97"/>
      <c r="J91" s="11"/>
    </row>
    <row r="93" ht="13.5" thickBot="1"/>
    <row r="94" spans="2:9" ht="13.5" thickTop="1">
      <c r="B94" s="100" t="s">
        <v>668</v>
      </c>
      <c r="C94" s="29" t="s">
        <v>215</v>
      </c>
      <c r="D94" s="125" t="s">
        <v>571</v>
      </c>
      <c r="E94" s="29"/>
      <c r="F94" s="29"/>
      <c r="G94" s="30"/>
      <c r="H94" s="23"/>
      <c r="I94" s="21"/>
    </row>
    <row r="95" spans="2:10" ht="13.5" thickBot="1">
      <c r="B95" s="24" t="s">
        <v>671</v>
      </c>
      <c r="C95" s="46"/>
      <c r="D95" s="124" t="s">
        <v>572</v>
      </c>
      <c r="E95" s="46"/>
      <c r="F95" s="46"/>
      <c r="G95" s="47"/>
      <c r="H95" s="24" t="s">
        <v>669</v>
      </c>
      <c r="I95" s="22" t="s">
        <v>670</v>
      </c>
      <c r="J95" s="11" t="s">
        <v>683</v>
      </c>
    </row>
    <row r="96" spans="2:10" ht="12.75">
      <c r="B96" s="26"/>
      <c r="C96" s="31" t="s">
        <v>215</v>
      </c>
      <c r="D96" s="126"/>
      <c r="E96" s="31"/>
      <c r="F96" s="31"/>
      <c r="G96" s="32"/>
      <c r="H96" s="26"/>
      <c r="I96" s="26"/>
      <c r="J96" s="11" t="s">
        <v>215</v>
      </c>
    </row>
    <row r="97" spans="2:10" ht="12.75">
      <c r="B97" s="37" t="s">
        <v>682</v>
      </c>
      <c r="C97" s="53" t="s">
        <v>672</v>
      </c>
      <c r="D97" s="53"/>
      <c r="E97" s="53"/>
      <c r="F97" s="53"/>
      <c r="G97" s="54"/>
      <c r="H97" s="84">
        <v>8400000</v>
      </c>
      <c r="I97" s="84">
        <v>0</v>
      </c>
      <c r="J97" s="52">
        <v>16400000</v>
      </c>
    </row>
    <row r="98" spans="2:10" ht="12.75">
      <c r="B98" s="38"/>
      <c r="C98" s="53"/>
      <c r="D98" s="2" t="s">
        <v>320</v>
      </c>
      <c r="E98" s="53"/>
      <c r="F98" s="53"/>
      <c r="G98" s="54"/>
      <c r="H98" s="84">
        <v>0</v>
      </c>
      <c r="I98" s="84">
        <v>8400000</v>
      </c>
      <c r="J98" s="52">
        <v>-8400000</v>
      </c>
    </row>
    <row r="99" spans="2:10" ht="12.75">
      <c r="B99" s="38"/>
      <c r="C99" s="56" t="s">
        <v>295</v>
      </c>
      <c r="D99" s="53"/>
      <c r="E99" s="53"/>
      <c r="F99" s="53"/>
      <c r="G99" s="54"/>
      <c r="H99" s="84"/>
      <c r="I99" s="84"/>
      <c r="J99" s="52"/>
    </row>
    <row r="100" spans="2:10" ht="12.75">
      <c r="B100" s="38"/>
      <c r="C100" s="53"/>
      <c r="D100" s="53"/>
      <c r="E100" s="53"/>
      <c r="F100" s="53"/>
      <c r="G100" s="54"/>
      <c r="H100" s="84"/>
      <c r="I100" s="84"/>
      <c r="J100" s="52"/>
    </row>
    <row r="101" spans="2:10" ht="12.75">
      <c r="B101" s="37" t="s">
        <v>682</v>
      </c>
      <c r="C101" s="53" t="s">
        <v>672</v>
      </c>
      <c r="D101" s="53" t="s">
        <v>215</v>
      </c>
      <c r="E101" s="53"/>
      <c r="F101" s="53"/>
      <c r="G101" s="54"/>
      <c r="H101" s="84">
        <v>0</v>
      </c>
      <c r="I101" s="84">
        <v>400000</v>
      </c>
      <c r="J101" s="52">
        <v>16000000</v>
      </c>
    </row>
    <row r="102" spans="2:10" ht="12.75">
      <c r="B102" s="26"/>
      <c r="C102"/>
      <c r="D102" s="2" t="s">
        <v>320</v>
      </c>
      <c r="E102" s="53"/>
      <c r="F102" s="53"/>
      <c r="G102" s="54"/>
      <c r="H102" s="84">
        <v>400000</v>
      </c>
      <c r="I102" s="84">
        <v>0</v>
      </c>
      <c r="J102" s="52">
        <v>-8000000</v>
      </c>
    </row>
    <row r="103" spans="2:10" ht="12.75">
      <c r="B103" s="26"/>
      <c r="C103" s="56" t="s">
        <v>296</v>
      </c>
      <c r="D103" s="53"/>
      <c r="E103" s="53"/>
      <c r="F103" s="53"/>
      <c r="G103" s="54"/>
      <c r="H103" s="84"/>
      <c r="I103" s="84"/>
      <c r="J103" s="52"/>
    </row>
    <row r="104" spans="2:10" ht="12.75">
      <c r="B104" s="26"/>
      <c r="C104" s="56"/>
      <c r="D104" s="53"/>
      <c r="E104" s="53"/>
      <c r="F104" s="53"/>
      <c r="G104" s="54"/>
      <c r="H104" s="84"/>
      <c r="I104" s="84"/>
      <c r="J104" s="52"/>
    </row>
    <row r="105" spans="2:10" ht="12.75">
      <c r="B105" s="37" t="s">
        <v>682</v>
      </c>
      <c r="C105" s="53" t="s">
        <v>673</v>
      </c>
      <c r="D105" s="53"/>
      <c r="E105" s="53"/>
      <c r="F105" s="53"/>
      <c r="G105" s="54"/>
      <c r="H105" s="84">
        <v>0</v>
      </c>
      <c r="I105" s="84">
        <v>28006550.164251726</v>
      </c>
      <c r="J105" s="52">
        <v>-11064273.724340163</v>
      </c>
    </row>
    <row r="106" spans="2:10" ht="12.75">
      <c r="B106" s="38"/>
      <c r="C106" s="93"/>
      <c r="D106" s="53" t="s">
        <v>675</v>
      </c>
      <c r="E106" s="53"/>
      <c r="F106" s="53"/>
      <c r="G106" s="54"/>
      <c r="H106" s="84">
        <v>28006550.164251726</v>
      </c>
      <c r="I106" s="84">
        <v>0</v>
      </c>
      <c r="J106" s="52">
        <v>11064273.724340163</v>
      </c>
    </row>
    <row r="107" spans="2:10" ht="12.75">
      <c r="B107" s="38"/>
      <c r="C107" s="93" t="s">
        <v>458</v>
      </c>
      <c r="D107" s="53"/>
      <c r="E107" s="53"/>
      <c r="F107" s="53"/>
      <c r="G107" s="54"/>
      <c r="H107" s="84"/>
      <c r="I107" s="84"/>
      <c r="J107" s="52"/>
    </row>
    <row r="108" spans="2:10" ht="12.75">
      <c r="B108" s="26"/>
      <c r="C108" s="56"/>
      <c r="D108" s="53"/>
      <c r="E108" s="53"/>
      <c r="F108" s="53"/>
      <c r="G108" s="54"/>
      <c r="H108" s="84"/>
      <c r="I108" s="84"/>
      <c r="J108" s="52"/>
    </row>
    <row r="109" spans="2:10" ht="12.75">
      <c r="B109" s="37" t="s">
        <v>682</v>
      </c>
      <c r="C109" s="2" t="s">
        <v>320</v>
      </c>
      <c r="D109" s="53"/>
      <c r="E109" s="53"/>
      <c r="F109" s="53"/>
      <c r="G109" s="54"/>
      <c r="H109" s="84">
        <v>8000000</v>
      </c>
      <c r="I109" s="84">
        <v>0</v>
      </c>
      <c r="J109" s="52">
        <v>0</v>
      </c>
    </row>
    <row r="110" spans="2:10" ht="12.75">
      <c r="B110" s="26"/>
      <c r="C110" s="56"/>
      <c r="D110" s="53" t="s">
        <v>679</v>
      </c>
      <c r="E110" s="53"/>
      <c r="F110" s="53"/>
      <c r="G110" s="54"/>
      <c r="H110" s="84">
        <v>0</v>
      </c>
      <c r="I110" s="84">
        <v>8000000</v>
      </c>
      <c r="J110" s="52">
        <v>-16000000</v>
      </c>
    </row>
    <row r="111" spans="2:10" ht="12.75">
      <c r="B111" s="26"/>
      <c r="C111" s="56" t="s">
        <v>642</v>
      </c>
      <c r="D111" s="53"/>
      <c r="E111" s="53"/>
      <c r="F111" s="53"/>
      <c r="G111" s="54"/>
      <c r="H111" s="84"/>
      <c r="I111" s="84"/>
      <c r="J111" s="58"/>
    </row>
    <row r="112" spans="2:9" ht="13.5" thickBot="1">
      <c r="B112" s="27"/>
      <c r="C112" s="33"/>
      <c r="D112" s="34"/>
      <c r="E112" s="34"/>
      <c r="F112" s="34"/>
      <c r="G112" s="35"/>
      <c r="H112" s="27"/>
      <c r="I112" s="27"/>
    </row>
    <row r="113" spans="2:3" ht="12.75">
      <c r="B113"/>
      <c r="C113"/>
    </row>
    <row r="114" spans="2:3" ht="13.5" thickBot="1">
      <c r="B114"/>
      <c r="C114"/>
    </row>
    <row r="115" spans="2:9" ht="13.5" thickTop="1">
      <c r="B115" s="100" t="s">
        <v>668</v>
      </c>
      <c r="C115" s="29" t="s">
        <v>215</v>
      </c>
      <c r="D115" s="125" t="s">
        <v>571</v>
      </c>
      <c r="E115" s="29"/>
      <c r="F115" s="29"/>
      <c r="G115" s="30"/>
      <c r="H115" s="23"/>
      <c r="I115" s="21"/>
    </row>
    <row r="116" spans="2:10" ht="13.5" thickBot="1">
      <c r="B116" s="24" t="s">
        <v>671</v>
      </c>
      <c r="C116" s="46"/>
      <c r="D116" s="124" t="s">
        <v>572</v>
      </c>
      <c r="E116" s="46"/>
      <c r="F116" s="46"/>
      <c r="G116" s="47"/>
      <c r="H116" s="24" t="s">
        <v>669</v>
      </c>
      <c r="I116" s="22" t="s">
        <v>670</v>
      </c>
      <c r="J116" s="11" t="s">
        <v>683</v>
      </c>
    </row>
    <row r="117" spans="2:10" ht="12.75">
      <c r="B117" s="26"/>
      <c r="C117" s="31" t="s">
        <v>215</v>
      </c>
      <c r="D117" s="126"/>
      <c r="E117" s="31"/>
      <c r="F117" s="31"/>
      <c r="G117" s="32"/>
      <c r="H117" s="101"/>
      <c r="I117" s="101"/>
      <c r="J117" s="11" t="s">
        <v>215</v>
      </c>
    </row>
    <row r="118" spans="2:10" ht="12.75">
      <c r="B118" s="37" t="s">
        <v>684</v>
      </c>
      <c r="C118" s="53" t="s">
        <v>672</v>
      </c>
      <c r="D118" s="53"/>
      <c r="E118" s="53"/>
      <c r="F118" s="53"/>
      <c r="G118" s="54"/>
      <c r="H118" s="84">
        <v>9600000</v>
      </c>
      <c r="I118" s="84">
        <v>0</v>
      </c>
      <c r="J118" s="52">
        <v>25600000</v>
      </c>
    </row>
    <row r="119" spans="2:10" ht="12.75">
      <c r="B119" s="38"/>
      <c r="C119" s="53"/>
      <c r="D119" s="2" t="s">
        <v>320</v>
      </c>
      <c r="E119" s="53"/>
      <c r="F119" s="53"/>
      <c r="G119" s="54"/>
      <c r="H119" s="84"/>
      <c r="I119" s="84">
        <v>9600000</v>
      </c>
      <c r="J119" s="52">
        <v>-9600000</v>
      </c>
    </row>
    <row r="120" spans="2:10" ht="12.75">
      <c r="B120" s="38"/>
      <c r="C120" s="56" t="s">
        <v>295</v>
      </c>
      <c r="D120" s="53"/>
      <c r="E120" s="53"/>
      <c r="F120" s="53"/>
      <c r="G120" s="54"/>
      <c r="H120" s="84"/>
      <c r="I120" s="84"/>
      <c r="J120" s="52"/>
    </row>
    <row r="121" spans="2:10" ht="12.75">
      <c r="B121" s="38"/>
      <c r="C121" s="53"/>
      <c r="D121" s="53"/>
      <c r="E121" s="53"/>
      <c r="F121" s="53"/>
      <c r="G121" s="54"/>
      <c r="H121" s="84"/>
      <c r="I121" s="84"/>
      <c r="J121" s="52"/>
    </row>
    <row r="122" spans="2:10" ht="12.75">
      <c r="B122" s="37" t="s">
        <v>684</v>
      </c>
      <c r="C122" s="53" t="s">
        <v>672</v>
      </c>
      <c r="D122" s="10"/>
      <c r="E122" s="53"/>
      <c r="F122" s="53"/>
      <c r="G122" s="54"/>
      <c r="H122" s="84">
        <v>0</v>
      </c>
      <c r="I122" s="84">
        <v>1600000</v>
      </c>
      <c r="J122" s="52">
        <v>24000000</v>
      </c>
    </row>
    <row r="123" spans="2:10" ht="12.75">
      <c r="B123" s="26"/>
      <c r="C123"/>
      <c r="D123" s="2" t="s">
        <v>320</v>
      </c>
      <c r="E123" s="53"/>
      <c r="F123" s="53"/>
      <c r="G123" s="54"/>
      <c r="H123" s="84">
        <v>1600000</v>
      </c>
      <c r="I123" s="84">
        <v>0</v>
      </c>
      <c r="J123" s="52">
        <v>-8000000</v>
      </c>
    </row>
    <row r="124" spans="2:10" ht="12.75">
      <c r="B124" s="26"/>
      <c r="C124" s="56" t="s">
        <v>296</v>
      </c>
      <c r="D124" s="53"/>
      <c r="E124" s="53"/>
      <c r="F124" s="53"/>
      <c r="G124" s="54"/>
      <c r="H124" s="84"/>
      <c r="I124" s="84"/>
      <c r="J124" s="52"/>
    </row>
    <row r="125" spans="2:10" ht="12.75">
      <c r="B125" s="26"/>
      <c r="C125" s="56"/>
      <c r="D125" s="53"/>
      <c r="E125" s="53"/>
      <c r="F125" s="53"/>
      <c r="G125" s="54"/>
      <c r="H125" s="84"/>
      <c r="I125" s="84"/>
      <c r="J125" s="52"/>
    </row>
    <row r="126" spans="2:10" ht="12.75">
      <c r="B126" s="37" t="s">
        <v>684</v>
      </c>
      <c r="C126" s="53" t="s">
        <v>673</v>
      </c>
      <c r="D126" s="53"/>
      <c r="E126" s="53"/>
      <c r="F126" s="53"/>
      <c r="G126" s="54"/>
      <c r="H126" s="84">
        <v>0</v>
      </c>
      <c r="I126" s="84">
        <v>32256677.596480906</v>
      </c>
      <c r="J126" s="52">
        <v>-43320951.32082107</v>
      </c>
    </row>
    <row r="127" spans="2:10" ht="12.75">
      <c r="B127" s="38"/>
      <c r="C127" s="93"/>
      <c r="D127" s="53" t="s">
        <v>675</v>
      </c>
      <c r="E127" s="53"/>
      <c r="F127" s="53"/>
      <c r="G127" s="54"/>
      <c r="H127" s="84">
        <v>32256677.596480906</v>
      </c>
      <c r="I127" s="84">
        <v>0</v>
      </c>
      <c r="J127" s="52">
        <v>43320951.32082107</v>
      </c>
    </row>
    <row r="128" spans="2:10" ht="12.75">
      <c r="B128" s="38"/>
      <c r="C128" s="93" t="s">
        <v>458</v>
      </c>
      <c r="D128" s="53"/>
      <c r="E128" s="53"/>
      <c r="F128" s="53"/>
      <c r="G128" s="54"/>
      <c r="H128" s="84"/>
      <c r="I128" s="84"/>
      <c r="J128" s="52"/>
    </row>
    <row r="129" spans="2:10" ht="12.75">
      <c r="B129" s="38"/>
      <c r="C129" s="56"/>
      <c r="D129" s="53"/>
      <c r="E129" s="53"/>
      <c r="F129" s="53"/>
      <c r="G129" s="54"/>
      <c r="H129" s="84"/>
      <c r="I129" s="84"/>
      <c r="J129" s="52"/>
    </row>
    <row r="130" spans="2:10" ht="12.75">
      <c r="B130" s="37" t="s">
        <v>684</v>
      </c>
      <c r="C130" s="2" t="s">
        <v>320</v>
      </c>
      <c r="D130" s="53"/>
      <c r="E130" s="53"/>
      <c r="F130" s="53"/>
      <c r="G130" s="54"/>
      <c r="H130" s="84">
        <v>8000000</v>
      </c>
      <c r="I130" s="84">
        <v>0</v>
      </c>
      <c r="J130" s="52">
        <v>0</v>
      </c>
    </row>
    <row r="131" spans="2:10" ht="12.75">
      <c r="B131" s="26"/>
      <c r="C131" s="56"/>
      <c r="D131" s="53" t="s">
        <v>679</v>
      </c>
      <c r="E131" s="53"/>
      <c r="F131" s="53"/>
      <c r="G131" s="54"/>
      <c r="H131" s="84">
        <v>0</v>
      </c>
      <c r="I131" s="84">
        <v>8000000</v>
      </c>
      <c r="J131" s="52">
        <v>-24000000</v>
      </c>
    </row>
    <row r="132" spans="2:10" ht="12.75">
      <c r="B132" s="26"/>
      <c r="C132" s="56" t="s">
        <v>642</v>
      </c>
      <c r="D132" s="53"/>
      <c r="E132" s="53"/>
      <c r="F132" s="53"/>
      <c r="G132" s="54"/>
      <c r="H132" s="84"/>
      <c r="I132" s="84"/>
      <c r="J132" s="58"/>
    </row>
    <row r="133" spans="2:9" ht="13.5" thickBot="1">
      <c r="B133" s="27"/>
      <c r="C133" s="33"/>
      <c r="D133" s="34"/>
      <c r="E133" s="34"/>
      <c r="F133" s="34"/>
      <c r="G133" s="35"/>
      <c r="H133" s="27"/>
      <c r="I133" s="27"/>
    </row>
    <row r="134" spans="2:9" ht="12.75">
      <c r="B134" s="31"/>
      <c r="C134" s="59"/>
      <c r="D134" s="31"/>
      <c r="E134" s="31"/>
      <c r="F134" s="31"/>
      <c r="G134" s="31"/>
      <c r="H134" s="31"/>
      <c r="I134" s="31"/>
    </row>
    <row r="135" spans="2:9" ht="12.75">
      <c r="B135" s="31"/>
      <c r="C135" s="59"/>
      <c r="D135" s="31"/>
      <c r="E135" s="31"/>
      <c r="F135" s="31"/>
      <c r="G135" s="31"/>
      <c r="H135" s="31"/>
      <c r="I135" s="31"/>
    </row>
    <row r="136" spans="1:3" ht="12.75">
      <c r="A136" s="168" t="s">
        <v>480</v>
      </c>
      <c r="B136" s="168" t="s">
        <v>480</v>
      </c>
      <c r="C136" s="168" t="s">
        <v>481</v>
      </c>
    </row>
    <row r="137" spans="1:3" ht="12.75">
      <c r="A137" s="168" t="s">
        <v>482</v>
      </c>
      <c r="B137" s="168" t="s">
        <v>483</v>
      </c>
      <c r="C137" s="168" t="s">
        <v>484</v>
      </c>
    </row>
    <row r="138" spans="1:4" ht="12.75">
      <c r="A138" t="s">
        <v>485</v>
      </c>
      <c r="B138" s="168">
        <v>10</v>
      </c>
      <c r="C138" s="168">
        <v>8</v>
      </c>
      <c r="D138" t="s">
        <v>130</v>
      </c>
    </row>
    <row r="141" spans="1:3" ht="12.75">
      <c r="A141" s="168" t="s">
        <v>480</v>
      </c>
      <c r="B141" s="168" t="s">
        <v>480</v>
      </c>
      <c r="C141" s="168" t="s">
        <v>481</v>
      </c>
    </row>
    <row r="142" spans="1:3" ht="12.75">
      <c r="A142" s="168" t="s">
        <v>482</v>
      </c>
      <c r="B142" s="168" t="s">
        <v>483</v>
      </c>
      <c r="C142" s="168" t="s">
        <v>484</v>
      </c>
    </row>
    <row r="143" spans="1:9" ht="12.75">
      <c r="A143" t="s">
        <v>485</v>
      </c>
      <c r="B143" s="168">
        <v>10</v>
      </c>
      <c r="C143" s="168">
        <v>9</v>
      </c>
      <c r="D143" t="s">
        <v>131</v>
      </c>
      <c r="H143" s="31"/>
      <c r="I143" s="31"/>
    </row>
    <row r="144" spans="2:3" ht="12.75">
      <c r="B144"/>
      <c r="C144"/>
    </row>
    <row r="145" spans="1:8" ht="12.75" customHeight="1" thickBot="1">
      <c r="A145" s="31" t="s">
        <v>177</v>
      </c>
      <c r="B145" s="59"/>
      <c r="C145" s="31"/>
      <c r="D145" s="31"/>
      <c r="E145" s="31"/>
      <c r="F145" s="31"/>
      <c r="G145" s="31"/>
      <c r="H145" s="31"/>
    </row>
    <row r="146" spans="1:8" ht="12.75" customHeight="1" thickBot="1">
      <c r="A146" s="65" t="s">
        <v>297</v>
      </c>
      <c r="B146" s="66"/>
      <c r="C146" s="66"/>
      <c r="D146" s="150" t="s">
        <v>681</v>
      </c>
      <c r="E146" s="150" t="s">
        <v>682</v>
      </c>
      <c r="F146" s="67" t="s">
        <v>684</v>
      </c>
      <c r="G146" s="60" t="s">
        <v>683</v>
      </c>
      <c r="H146" s="31"/>
    </row>
    <row r="147" spans="1:8" ht="12.75" customHeight="1">
      <c r="A147" s="61" t="s">
        <v>672</v>
      </c>
      <c r="B147" s="62"/>
      <c r="C147" s="62"/>
      <c r="D147" s="102">
        <v>7909666</v>
      </c>
      <c r="E147" s="102">
        <v>7909666</v>
      </c>
      <c r="F147" s="102">
        <v>7909666</v>
      </c>
      <c r="G147" s="107">
        <f>SUM(D147:F147)</f>
        <v>23728998</v>
      </c>
      <c r="H147" s="31"/>
    </row>
    <row r="148" spans="1:8" ht="12.75" customHeight="1">
      <c r="A148" s="63" t="s">
        <v>244</v>
      </c>
      <c r="B148" s="64"/>
      <c r="C148" s="63"/>
      <c r="D148" s="103">
        <v>16942276.439911563</v>
      </c>
      <c r="E148" s="103">
        <v>-28006550.164251726</v>
      </c>
      <c r="F148" s="103">
        <v>-32256677.596480906</v>
      </c>
      <c r="G148" s="107">
        <f>SUM(D148:F148)</f>
        <v>-43320951.32082107</v>
      </c>
      <c r="H148" s="31"/>
    </row>
    <row r="149" spans="1:8" ht="12.75" customHeight="1" thickBot="1">
      <c r="A149" s="31" t="s">
        <v>679</v>
      </c>
      <c r="B149" s="59"/>
      <c r="C149" s="31"/>
      <c r="D149" s="177">
        <v>-2401233.33333333</v>
      </c>
      <c r="E149" s="177">
        <v>-2348535.99726476</v>
      </c>
      <c r="F149" s="177">
        <v>-2295334.52334779</v>
      </c>
      <c r="G149" s="107">
        <f>SUM(D149:F149)</f>
        <v>-7045103.853945879</v>
      </c>
      <c r="H149" s="31"/>
    </row>
    <row r="150" spans="2:9" ht="12.75">
      <c r="B150" s="31"/>
      <c r="C150" s="59"/>
      <c r="D150" s="31"/>
      <c r="E150" s="185"/>
      <c r="F150" s="185"/>
      <c r="G150" s="185"/>
      <c r="H150" s="108"/>
      <c r="I150" s="31"/>
    </row>
    <row r="151" spans="1:8" ht="12.75" customHeight="1" thickBot="1">
      <c r="A151" s="31" t="s">
        <v>180</v>
      </c>
      <c r="B151" s="59"/>
      <c r="C151" s="31"/>
      <c r="D151" s="31"/>
      <c r="E151" s="31"/>
      <c r="F151" s="31"/>
      <c r="G151" s="31"/>
      <c r="H151" s="31"/>
    </row>
    <row r="152" spans="1:8" ht="12.75" customHeight="1" thickBot="1">
      <c r="A152" s="65" t="s">
        <v>297</v>
      </c>
      <c r="B152" s="66"/>
      <c r="C152" s="66"/>
      <c r="D152" s="150" t="s">
        <v>681</v>
      </c>
      <c r="E152" s="150" t="s">
        <v>682</v>
      </c>
      <c r="F152" s="67" t="s">
        <v>684</v>
      </c>
      <c r="G152" s="60" t="s">
        <v>683</v>
      </c>
      <c r="H152" s="31"/>
    </row>
    <row r="153" spans="1:8" ht="12.75" customHeight="1">
      <c r="A153" s="61" t="s">
        <v>672</v>
      </c>
      <c r="B153" s="62"/>
      <c r="C153" s="62"/>
      <c r="D153" s="102">
        <v>8000000</v>
      </c>
      <c r="E153" s="102">
        <v>8000000</v>
      </c>
      <c r="F153" s="102">
        <v>8000000</v>
      </c>
      <c r="G153" s="107">
        <v>24000000</v>
      </c>
      <c r="H153" s="31"/>
    </row>
    <row r="154" spans="1:8" ht="12.75" customHeight="1">
      <c r="A154" s="63" t="s">
        <v>244</v>
      </c>
      <c r="B154" s="64"/>
      <c r="C154" s="63"/>
      <c r="D154" s="103">
        <v>16942276.439911563</v>
      </c>
      <c r="E154" s="103">
        <v>-28006550.164251726</v>
      </c>
      <c r="F154" s="103">
        <v>-32256677.596480906</v>
      </c>
      <c r="G154" s="107">
        <v>-43320951.32082107</v>
      </c>
      <c r="H154" s="31"/>
    </row>
    <row r="155" spans="1:8" ht="12.75" customHeight="1" thickBot="1">
      <c r="A155" s="31" t="s">
        <v>679</v>
      </c>
      <c r="B155" s="59"/>
      <c r="C155" s="31"/>
      <c r="D155" s="177">
        <v>-2491577.33333333</v>
      </c>
      <c r="E155" s="177">
        <v>-2438879.99726476</v>
      </c>
      <c r="F155" s="177">
        <v>-2385678.52334779</v>
      </c>
      <c r="G155" s="107">
        <v>-7316135.853945879</v>
      </c>
      <c r="H155" s="31"/>
    </row>
    <row r="156" spans="2:9" ht="12.75">
      <c r="B156" s="31"/>
      <c r="C156" s="59"/>
      <c r="D156" s="31"/>
      <c r="E156" s="185"/>
      <c r="F156" s="185"/>
      <c r="G156" s="185"/>
      <c r="H156" s="108"/>
      <c r="I156" s="31"/>
    </row>
    <row r="157" spans="1:7" ht="12.75" customHeight="1">
      <c r="A157" s="31" t="s">
        <v>369</v>
      </c>
      <c r="B157" s="10"/>
      <c r="C157" s="10"/>
      <c r="D157" s="10"/>
      <c r="E157" s="10"/>
      <c r="F157" s="10"/>
      <c r="G157" s="10"/>
    </row>
    <row r="158" spans="1:3" ht="12.75">
      <c r="A158" s="10" t="s">
        <v>370</v>
      </c>
      <c r="B158"/>
      <c r="C158"/>
    </row>
    <row r="159" spans="1:3" ht="12.75">
      <c r="A159" s="10" t="s">
        <v>647</v>
      </c>
      <c r="B159"/>
      <c r="C159"/>
    </row>
    <row r="160" spans="1:3" ht="12.75">
      <c r="A160" s="10" t="s">
        <v>371</v>
      </c>
      <c r="B160"/>
      <c r="C160"/>
    </row>
    <row r="161" spans="1:3" ht="12.75">
      <c r="A161" s="10" t="s">
        <v>648</v>
      </c>
      <c r="B161"/>
      <c r="C161"/>
    </row>
    <row r="162" spans="1:3" ht="12.75">
      <c r="A162" s="10"/>
      <c r="B162"/>
      <c r="C162"/>
    </row>
    <row r="163" spans="1:8" ht="12.75" customHeight="1" thickBot="1">
      <c r="A163" s="31" t="s">
        <v>189</v>
      </c>
      <c r="B163" s="59"/>
      <c r="C163" s="31"/>
      <c r="D163" s="31"/>
      <c r="E163" s="31"/>
      <c r="F163" s="31"/>
      <c r="G163" s="31"/>
      <c r="H163" s="31"/>
    </row>
    <row r="164" spans="1:8" ht="12.75" customHeight="1" thickBot="1">
      <c r="A164" s="65" t="s">
        <v>188</v>
      </c>
      <c r="B164" s="66"/>
      <c r="C164" s="66"/>
      <c r="D164" s="150" t="s">
        <v>681</v>
      </c>
      <c r="E164" s="150" t="s">
        <v>682</v>
      </c>
      <c r="F164" s="67" t="s">
        <v>684</v>
      </c>
      <c r="G164" s="60" t="s">
        <v>683</v>
      </c>
      <c r="H164" s="31"/>
    </row>
    <row r="165" spans="1:8" ht="12.75" customHeight="1">
      <c r="A165" s="53" t="s">
        <v>186</v>
      </c>
      <c r="B165" s="60"/>
      <c r="C165" s="60"/>
      <c r="D165" s="178">
        <v>-2401233.33333333</v>
      </c>
      <c r="E165" s="178">
        <v>-2348535.99726476</v>
      </c>
      <c r="F165" s="178">
        <v>-2295334.52334779</v>
      </c>
      <c r="G165" s="107">
        <v>-7045103.853945879</v>
      </c>
      <c r="H165" s="31"/>
    </row>
    <row r="166" spans="1:8" ht="12.75" customHeight="1" thickBot="1">
      <c r="A166" s="53" t="s">
        <v>187</v>
      </c>
      <c r="B166" s="56"/>
      <c r="C166" s="53"/>
      <c r="D166" s="104">
        <v>-1891568</v>
      </c>
      <c r="E166" s="179">
        <v>-2748536</v>
      </c>
      <c r="F166" s="104">
        <v>-3895335</v>
      </c>
      <c r="G166" s="107">
        <v>-8535439</v>
      </c>
      <c r="H166" s="31"/>
    </row>
    <row r="167" spans="2:9" ht="12.75">
      <c r="B167" s="31"/>
      <c r="C167" s="59"/>
      <c r="D167" s="31"/>
      <c r="E167" s="185"/>
      <c r="F167" s="185"/>
      <c r="G167" s="185"/>
      <c r="H167" s="108"/>
      <c r="I167" s="31"/>
    </row>
    <row r="168" spans="1:7" ht="13.5" thickBot="1">
      <c r="A168" s="31" t="s">
        <v>191</v>
      </c>
      <c r="B168" s="59"/>
      <c r="C168" s="31"/>
      <c r="D168" s="31"/>
      <c r="E168" s="31"/>
      <c r="F168" s="31"/>
      <c r="G168" s="31"/>
    </row>
    <row r="169" spans="1:7" ht="13.5" thickBot="1">
      <c r="A169" s="65" t="s">
        <v>188</v>
      </c>
      <c r="B169" s="66"/>
      <c r="C169" s="66"/>
      <c r="D169" s="150" t="s">
        <v>681</v>
      </c>
      <c r="E169" s="150" t="s">
        <v>682</v>
      </c>
      <c r="F169" s="67" t="s">
        <v>684</v>
      </c>
      <c r="G169" s="60" t="s">
        <v>683</v>
      </c>
    </row>
    <row r="170" spans="1:7" ht="12.75">
      <c r="A170" s="53" t="s">
        <v>186</v>
      </c>
      <c r="B170" s="60"/>
      <c r="C170" s="60"/>
      <c r="D170" s="178">
        <v>-2491577.33333333</v>
      </c>
      <c r="E170" s="178">
        <v>-2438879.99726476</v>
      </c>
      <c r="F170" s="178">
        <v>-2385678.52334779</v>
      </c>
      <c r="G170" s="107">
        <v>-7316135.853945879</v>
      </c>
    </row>
    <row r="171" spans="1:7" ht="13.5" thickBot="1">
      <c r="A171" s="53" t="s">
        <v>187</v>
      </c>
      <c r="B171" s="56"/>
      <c r="C171" s="53"/>
      <c r="D171" s="104">
        <v>-1891568</v>
      </c>
      <c r="E171" s="179">
        <v>-2838870</v>
      </c>
      <c r="F171" s="104">
        <v>-3985669</v>
      </c>
      <c r="G171" s="107">
        <v>-8716107</v>
      </c>
    </row>
    <row r="172" spans="2:9" ht="12.75">
      <c r="B172" s="31"/>
      <c r="C172" s="59"/>
      <c r="D172" s="31"/>
      <c r="E172" s="185"/>
      <c r="F172" s="185"/>
      <c r="G172" s="185"/>
      <c r="H172" s="108"/>
      <c r="I172" s="31"/>
    </row>
    <row r="173" spans="1:3" ht="12.75">
      <c r="A173" s="10" t="s">
        <v>123</v>
      </c>
      <c r="B173"/>
      <c r="C173"/>
    </row>
    <row r="174" spans="1:3" ht="12.75">
      <c r="A174" s="10" t="s">
        <v>124</v>
      </c>
      <c r="B174"/>
      <c r="C174"/>
    </row>
    <row r="175" spans="1:3" ht="12.75">
      <c r="A175" s="10" t="s">
        <v>125</v>
      </c>
      <c r="B175"/>
      <c r="C175"/>
    </row>
    <row r="177" ht="12.75">
      <c r="B177" s="152" t="s">
        <v>129</v>
      </c>
    </row>
    <row r="179" spans="1:3" ht="12.75">
      <c r="A179" s="168" t="s">
        <v>480</v>
      </c>
      <c r="B179" s="168" t="s">
        <v>480</v>
      </c>
      <c r="C179" s="168" t="s">
        <v>481</v>
      </c>
    </row>
    <row r="180" spans="1:3" ht="12.75">
      <c r="A180" s="168" t="s">
        <v>482</v>
      </c>
      <c r="B180" s="168" t="s">
        <v>483</v>
      </c>
      <c r="C180" s="168" t="s">
        <v>484</v>
      </c>
    </row>
    <row r="181" spans="1:4" ht="12.75">
      <c r="A181" t="s">
        <v>485</v>
      </c>
      <c r="B181" s="168">
        <v>10</v>
      </c>
      <c r="C181" s="168">
        <v>10</v>
      </c>
      <c r="D181" t="s">
        <v>132</v>
      </c>
    </row>
    <row r="182" ht="13.5" thickBot="1"/>
    <row r="183" spans="2:9" ht="13.5" thickTop="1">
      <c r="B183" s="96" t="s">
        <v>668</v>
      </c>
      <c r="C183" s="19" t="s">
        <v>215</v>
      </c>
      <c r="D183" s="127" t="s">
        <v>574</v>
      </c>
      <c r="E183" s="19"/>
      <c r="F183" s="19"/>
      <c r="G183" s="20"/>
      <c r="H183" s="25"/>
      <c r="I183" s="39"/>
    </row>
    <row r="184" spans="2:10" ht="13.5" thickBot="1">
      <c r="B184" s="40" t="s">
        <v>671</v>
      </c>
      <c r="C184"/>
      <c r="D184" s="10" t="s">
        <v>573</v>
      </c>
      <c r="E184" s="16"/>
      <c r="F184" s="16"/>
      <c r="G184" s="17"/>
      <c r="H184" s="28" t="s">
        <v>669</v>
      </c>
      <c r="I184" s="99" t="s">
        <v>670</v>
      </c>
      <c r="J184" s="11" t="s">
        <v>683</v>
      </c>
    </row>
    <row r="185" spans="2:10" ht="13.5" thickTop="1">
      <c r="B185" s="37" t="s">
        <v>680</v>
      </c>
      <c r="C185" s="91" t="s">
        <v>266</v>
      </c>
      <c r="D185" s="49"/>
      <c r="E185" s="49"/>
      <c r="F185" s="49"/>
      <c r="G185" s="50"/>
      <c r="H185" s="105">
        <v>251000000</v>
      </c>
      <c r="I185" s="105">
        <v>0</v>
      </c>
      <c r="J185" s="52">
        <v>251000000</v>
      </c>
    </row>
    <row r="186" spans="2:10" ht="12.75">
      <c r="B186" s="37"/>
      <c r="C186" s="92"/>
      <c r="D186" s="60" t="s">
        <v>672</v>
      </c>
      <c r="E186" s="60"/>
      <c r="F186" s="60"/>
      <c r="G186" s="82"/>
      <c r="H186" s="106">
        <v>0</v>
      </c>
      <c r="I186" s="106">
        <v>251000000</v>
      </c>
      <c r="J186" s="52">
        <v>-251000000</v>
      </c>
    </row>
    <row r="187" spans="2:10" ht="12.75">
      <c r="B187" s="37"/>
      <c r="C187" s="93" t="s">
        <v>267</v>
      </c>
      <c r="D187" s="60"/>
      <c r="E187" s="60"/>
      <c r="F187" s="60"/>
      <c r="G187" s="82"/>
      <c r="H187" s="51"/>
      <c r="I187" s="51"/>
      <c r="J187" s="52"/>
    </row>
    <row r="188" spans="2:10" ht="12.75">
      <c r="B188" s="37"/>
      <c r="C188" s="93"/>
      <c r="D188" s="60"/>
      <c r="E188" s="60"/>
      <c r="F188" s="60"/>
      <c r="G188" s="82"/>
      <c r="H188" s="51"/>
      <c r="I188" s="51"/>
      <c r="J188" s="52"/>
    </row>
    <row r="189" spans="2:10" ht="12.75">
      <c r="B189" s="37" t="s">
        <v>680</v>
      </c>
      <c r="C189" s="92" t="s">
        <v>672</v>
      </c>
      <c r="D189" s="60"/>
      <c r="E189" s="60"/>
      <c r="F189" s="60"/>
      <c r="G189" s="82"/>
      <c r="H189" s="51">
        <v>0</v>
      </c>
      <c r="I189" s="51">
        <v>0</v>
      </c>
      <c r="J189" s="52">
        <v>-251000000</v>
      </c>
    </row>
    <row r="190" spans="2:10" ht="12.75">
      <c r="B190" s="26"/>
      <c r="C190" s="92"/>
      <c r="D190" s="53" t="s">
        <v>673</v>
      </c>
      <c r="E190" s="53"/>
      <c r="F190" s="53"/>
      <c r="G190" s="54"/>
      <c r="H190" s="51">
        <v>0</v>
      </c>
      <c r="I190" s="51">
        <v>0</v>
      </c>
      <c r="J190" s="52">
        <v>0</v>
      </c>
    </row>
    <row r="191" spans="2:10" ht="12.75">
      <c r="B191" s="26"/>
      <c r="C191" s="93" t="s">
        <v>674</v>
      </c>
      <c r="D191" s="53"/>
      <c r="E191" s="53"/>
      <c r="F191" s="53"/>
      <c r="G191" s="54"/>
      <c r="H191" s="55"/>
      <c r="I191" s="55"/>
      <c r="J191" s="52"/>
    </row>
    <row r="192" spans="2:10" ht="12.75">
      <c r="B192" s="37"/>
      <c r="C192" s="92"/>
      <c r="D192" s="60"/>
      <c r="E192" s="60"/>
      <c r="F192" s="60"/>
      <c r="G192" s="82"/>
      <c r="H192" s="51"/>
      <c r="I192" s="51"/>
      <c r="J192" s="52"/>
    </row>
    <row r="193" spans="2:10" ht="12.75">
      <c r="B193" s="37" t="s">
        <v>681</v>
      </c>
      <c r="C193" s="92" t="s">
        <v>672</v>
      </c>
      <c r="D193" s="53"/>
      <c r="E193" s="53"/>
      <c r="F193" s="53"/>
      <c r="G193" s="54"/>
      <c r="H193" s="84">
        <v>7400000</v>
      </c>
      <c r="I193" s="51">
        <v>0</v>
      </c>
      <c r="J193" s="52">
        <v>-243600000</v>
      </c>
    </row>
    <row r="194" spans="2:10" ht="12.75">
      <c r="B194" s="38"/>
      <c r="C194" s="92"/>
      <c r="D194" s="53" t="s">
        <v>268</v>
      </c>
      <c r="E194" s="53"/>
      <c r="F194" s="53"/>
      <c r="G194" s="54"/>
      <c r="H194" s="51">
        <v>0</v>
      </c>
      <c r="I194" s="85">
        <v>7400000</v>
      </c>
      <c r="J194" s="52">
        <v>-7400000</v>
      </c>
    </row>
    <row r="195" spans="2:10" ht="12.75">
      <c r="B195" s="38"/>
      <c r="C195" s="93" t="s">
        <v>295</v>
      </c>
      <c r="D195" s="53"/>
      <c r="E195" s="53"/>
      <c r="F195" s="53"/>
      <c r="G195" s="54"/>
      <c r="H195" s="55"/>
      <c r="I195" s="55"/>
      <c r="J195" s="52"/>
    </row>
    <row r="196" spans="2:10" ht="12.75">
      <c r="B196" s="38"/>
      <c r="C196" s="93"/>
      <c r="D196" s="53"/>
      <c r="E196" s="53"/>
      <c r="F196" s="53"/>
      <c r="G196" s="54"/>
      <c r="H196" s="55"/>
      <c r="I196" s="55"/>
      <c r="J196" s="52"/>
    </row>
    <row r="197" spans="2:10" ht="12.75">
      <c r="B197" s="37" t="s">
        <v>681</v>
      </c>
      <c r="C197" s="92" t="s">
        <v>672</v>
      </c>
      <c r="D197" s="53"/>
      <c r="E197" s="53"/>
      <c r="F197" s="53"/>
      <c r="G197" s="54"/>
      <c r="H197" s="51">
        <v>600000</v>
      </c>
      <c r="I197" s="51">
        <v>0</v>
      </c>
      <c r="J197" s="52">
        <v>-243000000</v>
      </c>
    </row>
    <row r="198" spans="2:10" ht="12.75">
      <c r="B198" s="26"/>
      <c r="C198" s="92"/>
      <c r="D198" s="53" t="s">
        <v>268</v>
      </c>
      <c r="E198" s="53"/>
      <c r="F198" s="53"/>
      <c r="G198" s="54"/>
      <c r="H198" s="51">
        <v>0</v>
      </c>
      <c r="I198" s="51">
        <v>600000</v>
      </c>
      <c r="J198" s="52">
        <v>-8000000</v>
      </c>
    </row>
    <row r="199" spans="2:10" ht="12.75">
      <c r="B199" s="26"/>
      <c r="C199" s="93" t="s">
        <v>296</v>
      </c>
      <c r="D199" s="53"/>
      <c r="E199" s="53"/>
      <c r="F199" s="53"/>
      <c r="G199" s="54"/>
      <c r="H199" s="55"/>
      <c r="I199" s="55"/>
      <c r="J199" s="52"/>
    </row>
    <row r="200" spans="2:10" ht="12.75">
      <c r="B200" s="38"/>
      <c r="C200" s="93"/>
      <c r="D200" s="53"/>
      <c r="E200" s="53"/>
      <c r="F200" s="53"/>
      <c r="G200" s="54"/>
      <c r="H200" s="55"/>
      <c r="I200" s="55"/>
      <c r="J200" s="52"/>
    </row>
    <row r="201" spans="2:10" ht="12.75">
      <c r="B201" s="38"/>
      <c r="C201" s="93"/>
      <c r="D201" s="53"/>
      <c r="E201" s="53"/>
      <c r="F201" s="53"/>
      <c r="G201" s="54"/>
      <c r="H201" s="55"/>
      <c r="I201" s="55"/>
      <c r="J201" s="52"/>
    </row>
    <row r="202" spans="2:10" ht="12.75">
      <c r="B202" s="37" t="s">
        <v>681</v>
      </c>
      <c r="C202" s="92" t="s">
        <v>268</v>
      </c>
      <c r="D202" s="53"/>
      <c r="E202" s="53"/>
      <c r="F202" s="53"/>
      <c r="G202" s="54"/>
      <c r="H202" s="84">
        <v>8000000</v>
      </c>
      <c r="I202" s="84">
        <v>0</v>
      </c>
      <c r="J202" s="52">
        <v>0</v>
      </c>
    </row>
    <row r="203" spans="2:10" ht="12.75">
      <c r="B203" s="38"/>
      <c r="C203" s="94"/>
      <c r="D203" s="53" t="s">
        <v>269</v>
      </c>
      <c r="E203" s="53"/>
      <c r="F203" s="53"/>
      <c r="G203" s="54"/>
      <c r="H203" s="84">
        <v>0</v>
      </c>
      <c r="I203" s="84">
        <v>2401233.333333333</v>
      </c>
      <c r="J203" s="52">
        <v>-2401233.333333333</v>
      </c>
    </row>
    <row r="204" spans="2:10" ht="12.75">
      <c r="B204" s="38"/>
      <c r="C204" s="94"/>
      <c r="D204" s="53" t="s">
        <v>271</v>
      </c>
      <c r="E204" s="53"/>
      <c r="F204" s="53"/>
      <c r="G204" s="54"/>
      <c r="H204" s="84">
        <v>0</v>
      </c>
      <c r="I204" s="84">
        <v>5508432.341662991</v>
      </c>
      <c r="J204" s="52">
        <v>245491567.658337</v>
      </c>
    </row>
    <row r="205" spans="2:10" ht="12.75">
      <c r="B205" s="38"/>
      <c r="C205" s="92"/>
      <c r="D205" s="53" t="s">
        <v>672</v>
      </c>
      <c r="E205" s="53"/>
      <c r="F205" s="53"/>
      <c r="G205" s="54"/>
      <c r="H205" s="84">
        <v>0</v>
      </c>
      <c r="I205" s="84">
        <v>90334.32500367612</v>
      </c>
      <c r="J205" s="52">
        <v>-243090334.32500368</v>
      </c>
    </row>
    <row r="206" spans="2:10" ht="12.75">
      <c r="B206" s="38"/>
      <c r="C206" s="93" t="s">
        <v>274</v>
      </c>
      <c r="D206" s="53"/>
      <c r="E206" s="53"/>
      <c r="F206" s="53"/>
      <c r="G206" s="54"/>
      <c r="H206" s="84"/>
      <c r="I206" s="84"/>
      <c r="J206" s="52"/>
    </row>
    <row r="207" spans="2:10" ht="12.75">
      <c r="B207" s="38"/>
      <c r="C207" s="93"/>
      <c r="D207" s="53"/>
      <c r="E207" s="53"/>
      <c r="F207" s="53"/>
      <c r="G207" s="54"/>
      <c r="H207" s="84"/>
      <c r="I207" s="84"/>
      <c r="J207" s="52"/>
    </row>
    <row r="208" spans="2:10" ht="12.75">
      <c r="B208" s="37" t="s">
        <v>681</v>
      </c>
      <c r="C208" s="53" t="s">
        <v>673</v>
      </c>
      <c r="D208" s="53"/>
      <c r="E208" s="53"/>
      <c r="F208" s="53"/>
      <c r="G208" s="54"/>
      <c r="H208" s="84">
        <v>16942276.439911563</v>
      </c>
      <c r="I208" s="84">
        <v>0</v>
      </c>
      <c r="J208" s="52">
        <v>16942276.439911563</v>
      </c>
    </row>
    <row r="209" spans="2:10" ht="12.75">
      <c r="B209" s="38"/>
      <c r="C209" s="93"/>
      <c r="D209" s="53" t="s">
        <v>675</v>
      </c>
      <c r="E209" s="53"/>
      <c r="F209" s="53"/>
      <c r="G209" s="54"/>
      <c r="H209" s="84">
        <v>0</v>
      </c>
      <c r="I209" s="84">
        <v>16942276.439911563</v>
      </c>
      <c r="J209" s="52">
        <v>-16942276.439911563</v>
      </c>
    </row>
    <row r="210" spans="2:10" ht="12.75">
      <c r="B210" s="38"/>
      <c r="C210" s="93" t="s">
        <v>458</v>
      </c>
      <c r="D210" s="53"/>
      <c r="E210" s="53"/>
      <c r="F210" s="53"/>
      <c r="G210" s="54"/>
      <c r="H210" s="84"/>
      <c r="I210" s="84"/>
      <c r="J210" s="52"/>
    </row>
    <row r="211" spans="2:10" ht="12.75">
      <c r="B211" s="38"/>
      <c r="C211" s="93"/>
      <c r="D211" s="53"/>
      <c r="E211" s="53"/>
      <c r="F211" s="53"/>
      <c r="G211" s="54"/>
      <c r="H211" s="84"/>
      <c r="I211" s="84"/>
      <c r="J211" s="52"/>
    </row>
    <row r="212" spans="2:10" ht="12.75">
      <c r="B212" s="37" t="s">
        <v>681</v>
      </c>
      <c r="C212" s="92" t="s">
        <v>269</v>
      </c>
      <c r="D212" s="53"/>
      <c r="E212" s="53"/>
      <c r="F212" s="53"/>
      <c r="G212" s="54"/>
      <c r="H212" s="84">
        <v>2401233.333333333</v>
      </c>
      <c r="I212" s="51">
        <v>0</v>
      </c>
      <c r="J212" s="52">
        <v>0</v>
      </c>
    </row>
    <row r="213" spans="2:10" ht="12.75">
      <c r="B213" s="26"/>
      <c r="C213" s="93"/>
      <c r="D213" s="53" t="s">
        <v>679</v>
      </c>
      <c r="E213" s="53"/>
      <c r="F213" s="53"/>
      <c r="G213" s="54"/>
      <c r="H213" s="51">
        <v>0</v>
      </c>
      <c r="I213" s="84">
        <v>2401233.333333333</v>
      </c>
      <c r="J213" s="52">
        <v>-2401233.333333333</v>
      </c>
    </row>
    <row r="214" spans="2:10" ht="12.75">
      <c r="B214" s="26"/>
      <c r="C214" s="93" t="s">
        <v>643</v>
      </c>
      <c r="D214" s="53"/>
      <c r="E214" s="53"/>
      <c r="F214" s="53"/>
      <c r="G214" s="54"/>
      <c r="H214" s="55"/>
      <c r="I214" s="55"/>
      <c r="J214" s="52"/>
    </row>
    <row r="215" spans="2:10" ht="13.5" thickBot="1">
      <c r="B215" s="35"/>
      <c r="C215" s="113"/>
      <c r="D215" s="114"/>
      <c r="E215" s="114"/>
      <c r="F215" s="114"/>
      <c r="G215" s="115"/>
      <c r="H215" s="116"/>
      <c r="I215" s="116"/>
      <c r="J215" s="117"/>
    </row>
    <row r="216" spans="2:10" ht="12.75">
      <c r="B216" s="26"/>
      <c r="C216" s="93"/>
      <c r="D216" s="53"/>
      <c r="E216" s="53"/>
      <c r="F216" s="53"/>
      <c r="G216" s="54"/>
      <c r="H216" s="55"/>
      <c r="I216" s="55"/>
      <c r="J216" s="52"/>
    </row>
    <row r="217" spans="2:10" ht="12.75">
      <c r="B217" s="37" t="s">
        <v>682</v>
      </c>
      <c r="C217" s="92" t="s">
        <v>672</v>
      </c>
      <c r="D217" s="53"/>
      <c r="E217" s="53"/>
      <c r="F217" s="53"/>
      <c r="G217" s="54"/>
      <c r="H217" s="84">
        <v>8400000</v>
      </c>
      <c r="I217" s="51">
        <v>0</v>
      </c>
      <c r="J217" s="52">
        <v>-234690334.32500368</v>
      </c>
    </row>
    <row r="218" spans="2:10" ht="12.75">
      <c r="B218" s="38"/>
      <c r="C218" s="92"/>
      <c r="D218" s="53" t="s">
        <v>268</v>
      </c>
      <c r="E218" s="53"/>
      <c r="F218" s="53"/>
      <c r="G218" s="54"/>
      <c r="H218" s="84">
        <v>0</v>
      </c>
      <c r="I218" s="84">
        <v>8400000</v>
      </c>
      <c r="J218" s="52">
        <v>-8400000</v>
      </c>
    </row>
    <row r="219" spans="2:10" ht="12.75">
      <c r="B219" s="38"/>
      <c r="C219" s="93" t="s">
        <v>295</v>
      </c>
      <c r="D219" s="53"/>
      <c r="E219" s="53"/>
      <c r="F219" s="53"/>
      <c r="G219" s="54"/>
      <c r="H219" s="84"/>
      <c r="I219" s="84"/>
      <c r="J219" s="112"/>
    </row>
    <row r="220" spans="2:10" ht="12.75">
      <c r="B220" s="38"/>
      <c r="C220" s="93"/>
      <c r="D220" s="53"/>
      <c r="E220" s="53"/>
      <c r="F220" s="53"/>
      <c r="G220" s="54"/>
      <c r="H220" s="84"/>
      <c r="I220" s="84"/>
      <c r="J220" s="112"/>
    </row>
    <row r="221" spans="2:10" ht="12.75">
      <c r="B221" s="37" t="s">
        <v>682</v>
      </c>
      <c r="C221" s="92" t="s">
        <v>672</v>
      </c>
      <c r="D221" s="53"/>
      <c r="E221" s="53"/>
      <c r="F221" s="53"/>
      <c r="G221" s="54"/>
      <c r="H221" s="84">
        <v>0</v>
      </c>
      <c r="I221" s="84">
        <v>400000</v>
      </c>
      <c r="J221" s="112">
        <v>-235090334.32500368</v>
      </c>
    </row>
    <row r="222" spans="2:10" ht="12.75">
      <c r="B222" s="26"/>
      <c r="C222" s="92"/>
      <c r="D222" s="53" t="s">
        <v>268</v>
      </c>
      <c r="E222" s="53"/>
      <c r="F222" s="53"/>
      <c r="G222" s="54"/>
      <c r="H222" s="84">
        <v>400000</v>
      </c>
      <c r="I222" s="84">
        <v>0</v>
      </c>
      <c r="J222" s="112">
        <v>-8000000</v>
      </c>
    </row>
    <row r="223" spans="2:10" ht="12.75">
      <c r="B223" s="26"/>
      <c r="C223" s="93" t="s">
        <v>296</v>
      </c>
      <c r="D223" s="53"/>
      <c r="E223" s="53"/>
      <c r="F223" s="53"/>
      <c r="G223" s="54"/>
      <c r="H223" s="84"/>
      <c r="I223" s="84"/>
      <c r="J223" s="112"/>
    </row>
    <row r="224" spans="2:10" ht="12.75">
      <c r="B224" s="38"/>
      <c r="C224" s="93"/>
      <c r="D224" s="53"/>
      <c r="E224" s="53"/>
      <c r="F224" s="53"/>
      <c r="G224" s="54"/>
      <c r="H224" s="84"/>
      <c r="I224" s="84"/>
      <c r="J224" s="112"/>
    </row>
    <row r="225" spans="2:10" ht="12.75">
      <c r="B225" s="38"/>
      <c r="C225" s="93"/>
      <c r="D225" s="53"/>
      <c r="E225" s="53"/>
      <c r="F225" s="53"/>
      <c r="G225" s="54"/>
      <c r="H225" s="84"/>
      <c r="I225" s="84"/>
      <c r="J225" s="112"/>
    </row>
    <row r="226" spans="2:10" ht="12.75">
      <c r="B226" s="37" t="s">
        <v>682</v>
      </c>
      <c r="C226" s="92" t="s">
        <v>268</v>
      </c>
      <c r="D226" s="53"/>
      <c r="E226" s="53"/>
      <c r="F226" s="53"/>
      <c r="G226" s="54"/>
      <c r="H226" s="84">
        <v>8000000</v>
      </c>
      <c r="I226" s="84">
        <v>0</v>
      </c>
      <c r="J226" s="112">
        <v>0</v>
      </c>
    </row>
    <row r="227" spans="2:10" ht="12.75">
      <c r="B227" s="38"/>
      <c r="C227" s="94"/>
      <c r="D227" s="53" t="s">
        <v>269</v>
      </c>
      <c r="E227" s="53"/>
      <c r="F227" s="53"/>
      <c r="G227" s="54"/>
      <c r="H227" s="84">
        <v>0</v>
      </c>
      <c r="I227" s="84">
        <v>2348536</v>
      </c>
      <c r="J227" s="112">
        <v>-2348536</v>
      </c>
    </row>
    <row r="228" spans="2:10" ht="12.75">
      <c r="B228" s="38"/>
      <c r="C228" s="94"/>
      <c r="D228" s="53" t="s">
        <v>271</v>
      </c>
      <c r="E228" s="53"/>
      <c r="F228" s="53"/>
      <c r="G228" s="54"/>
      <c r="H228" s="84">
        <v>0</v>
      </c>
      <c r="I228" s="84">
        <v>5561666</v>
      </c>
      <c r="J228" s="112">
        <v>239929901.658337</v>
      </c>
    </row>
    <row r="229" spans="2:10" ht="12.75">
      <c r="B229" s="38"/>
      <c r="C229" s="92"/>
      <c r="D229" s="53" t="s">
        <v>672</v>
      </c>
      <c r="E229" s="53"/>
      <c r="F229" s="53"/>
      <c r="G229" s="54"/>
      <c r="H229" s="84">
        <v>0</v>
      </c>
      <c r="I229" s="84">
        <v>89798</v>
      </c>
      <c r="J229" s="112">
        <v>-235180132.32500368</v>
      </c>
    </row>
    <row r="230" spans="2:10" ht="12.75">
      <c r="B230" s="38"/>
      <c r="C230" s="93" t="s">
        <v>274</v>
      </c>
      <c r="D230" s="53"/>
      <c r="E230" s="53"/>
      <c r="F230" s="53"/>
      <c r="G230" s="54"/>
      <c r="H230" s="84"/>
      <c r="I230" s="84"/>
      <c r="J230" s="112"/>
    </row>
    <row r="231" spans="2:10" ht="12.75">
      <c r="B231" s="38"/>
      <c r="C231" s="93"/>
      <c r="D231" s="53"/>
      <c r="E231" s="53"/>
      <c r="F231" s="53"/>
      <c r="G231" s="54"/>
      <c r="H231" s="84"/>
      <c r="I231" s="84"/>
      <c r="J231" s="112"/>
    </row>
    <row r="232" spans="2:10" ht="12.75">
      <c r="B232" s="37" t="s">
        <v>682</v>
      </c>
      <c r="C232" s="53" t="s">
        <v>673</v>
      </c>
      <c r="D232" s="53"/>
      <c r="E232" s="53"/>
      <c r="F232" s="53"/>
      <c r="G232" s="54"/>
      <c r="H232" s="84">
        <v>0</v>
      </c>
      <c r="I232" s="84">
        <v>28006550.164251726</v>
      </c>
      <c r="J232" s="52">
        <v>-11064273.724340163</v>
      </c>
    </row>
    <row r="233" spans="2:10" ht="12.75">
      <c r="B233" s="38"/>
      <c r="C233" s="93"/>
      <c r="D233" s="53" t="s">
        <v>675</v>
      </c>
      <c r="E233" s="53"/>
      <c r="F233" s="53"/>
      <c r="G233" s="54"/>
      <c r="H233" s="84">
        <v>28006550.164251726</v>
      </c>
      <c r="I233" s="84">
        <v>0</v>
      </c>
      <c r="J233" s="52">
        <v>11064273.724340163</v>
      </c>
    </row>
    <row r="234" spans="2:10" ht="12.75">
      <c r="B234" s="38"/>
      <c r="C234" s="93" t="s">
        <v>458</v>
      </c>
      <c r="D234" s="53"/>
      <c r="E234" s="53"/>
      <c r="F234" s="53"/>
      <c r="G234" s="54"/>
      <c r="H234" s="84"/>
      <c r="I234" s="84"/>
      <c r="J234" s="52"/>
    </row>
    <row r="235" spans="2:10" ht="12.75">
      <c r="B235" s="38"/>
      <c r="C235" s="93"/>
      <c r="D235" s="53"/>
      <c r="E235" s="53"/>
      <c r="F235" s="53"/>
      <c r="G235" s="54"/>
      <c r="H235" s="84"/>
      <c r="I235" s="84"/>
      <c r="J235" s="112"/>
    </row>
    <row r="236" spans="2:10" ht="12.75">
      <c r="B236" s="37" t="s">
        <v>682</v>
      </c>
      <c r="C236" s="92" t="s">
        <v>269</v>
      </c>
      <c r="D236" s="53"/>
      <c r="E236" s="53"/>
      <c r="F236" s="53"/>
      <c r="G236" s="54"/>
      <c r="H236" s="84">
        <v>2348536</v>
      </c>
      <c r="I236" s="84">
        <v>0</v>
      </c>
      <c r="J236" s="112">
        <v>0</v>
      </c>
    </row>
    <row r="237" spans="2:10" ht="12.75">
      <c r="B237" s="26"/>
      <c r="C237" s="93"/>
      <c r="D237" s="53" t="s">
        <v>679</v>
      </c>
      <c r="E237" s="53"/>
      <c r="F237" s="53"/>
      <c r="G237" s="54"/>
      <c r="H237" s="84">
        <v>0</v>
      </c>
      <c r="I237" s="84">
        <v>2348536</v>
      </c>
      <c r="J237" s="112">
        <v>-4749769.333333333</v>
      </c>
    </row>
    <row r="238" spans="2:10" ht="12.75">
      <c r="B238" s="26"/>
      <c r="C238" s="93" t="s">
        <v>643</v>
      </c>
      <c r="D238" s="53"/>
      <c r="E238" s="53"/>
      <c r="F238" s="53"/>
      <c r="G238" s="54"/>
      <c r="H238" s="84"/>
      <c r="I238" s="84"/>
      <c r="J238" s="112"/>
    </row>
    <row r="239" spans="2:10" ht="13.5" thickBot="1">
      <c r="B239" s="35"/>
      <c r="C239" s="113"/>
      <c r="D239" s="114"/>
      <c r="E239" s="114"/>
      <c r="F239" s="114"/>
      <c r="G239" s="115"/>
      <c r="H239" s="118"/>
      <c r="I239" s="118"/>
      <c r="J239" s="119"/>
    </row>
    <row r="240" spans="2:10" ht="12.75">
      <c r="B240" s="26"/>
      <c r="C240" s="93"/>
      <c r="D240" s="53"/>
      <c r="E240" s="53"/>
      <c r="F240" s="53"/>
      <c r="G240" s="54"/>
      <c r="H240" s="84"/>
      <c r="I240" s="84"/>
      <c r="J240" s="112"/>
    </row>
    <row r="241" spans="2:10" ht="12.75">
      <c r="B241" s="37" t="s">
        <v>684</v>
      </c>
      <c r="C241" s="92" t="s">
        <v>672</v>
      </c>
      <c r="D241" s="53"/>
      <c r="E241" s="53"/>
      <c r="F241" s="53"/>
      <c r="G241" s="54"/>
      <c r="H241" s="84">
        <v>9600000</v>
      </c>
      <c r="I241" s="51">
        <v>0</v>
      </c>
      <c r="J241" s="52">
        <v>-225580132.32500368</v>
      </c>
    </row>
    <row r="242" spans="2:10" ht="12.75">
      <c r="B242" s="38"/>
      <c r="C242" s="92"/>
      <c r="D242" s="53" t="s">
        <v>268</v>
      </c>
      <c r="E242" s="53"/>
      <c r="F242" s="53"/>
      <c r="G242" s="54"/>
      <c r="H242" s="84">
        <v>0</v>
      </c>
      <c r="I242" s="84">
        <v>9600000</v>
      </c>
      <c r="J242" s="52">
        <v>-9600000</v>
      </c>
    </row>
    <row r="243" spans="2:10" ht="12.75">
      <c r="B243" s="38"/>
      <c r="C243" s="93" t="s">
        <v>295</v>
      </c>
      <c r="D243" s="53"/>
      <c r="E243" s="53"/>
      <c r="F243" s="53"/>
      <c r="G243" s="54"/>
      <c r="H243" s="84"/>
      <c r="I243" s="84"/>
      <c r="J243" s="112"/>
    </row>
    <row r="244" spans="2:10" ht="12.75">
      <c r="B244" s="38"/>
      <c r="C244" s="93"/>
      <c r="D244" s="53"/>
      <c r="E244" s="53"/>
      <c r="F244" s="53"/>
      <c r="G244" s="54"/>
      <c r="H244" s="84"/>
      <c r="I244" s="84"/>
      <c r="J244" s="112"/>
    </row>
    <row r="245" spans="2:10" ht="12.75">
      <c r="B245" s="37" t="s">
        <v>684</v>
      </c>
      <c r="C245" s="92" t="s">
        <v>672</v>
      </c>
      <c r="D245" s="53"/>
      <c r="E245" s="53"/>
      <c r="F245" s="53"/>
      <c r="G245" s="54"/>
      <c r="H245" s="84">
        <v>0</v>
      </c>
      <c r="I245" s="84">
        <v>1600000</v>
      </c>
      <c r="J245" s="112">
        <v>-227180132.32500368</v>
      </c>
    </row>
    <row r="246" spans="2:10" ht="12.75">
      <c r="B246" s="26"/>
      <c r="C246" s="92"/>
      <c r="D246" s="53" t="s">
        <v>268</v>
      </c>
      <c r="E246" s="53"/>
      <c r="F246" s="53"/>
      <c r="G246" s="54"/>
      <c r="H246" s="84">
        <v>1600000</v>
      </c>
      <c r="I246" s="84">
        <v>0</v>
      </c>
      <c r="J246" s="112">
        <v>-8000000</v>
      </c>
    </row>
    <row r="247" spans="2:10" ht="12.75">
      <c r="B247" s="26"/>
      <c r="C247" s="93" t="s">
        <v>296</v>
      </c>
      <c r="D247" s="53"/>
      <c r="E247" s="53"/>
      <c r="F247" s="53"/>
      <c r="G247" s="54"/>
      <c r="H247" s="84"/>
      <c r="I247" s="84"/>
      <c r="J247" s="112"/>
    </row>
    <row r="248" spans="2:10" ht="12.75">
      <c r="B248" s="38"/>
      <c r="C248" s="93"/>
      <c r="D248" s="53"/>
      <c r="E248" s="53"/>
      <c r="F248" s="53"/>
      <c r="G248" s="54"/>
      <c r="H248" s="84"/>
      <c r="I248" s="84"/>
      <c r="J248" s="112"/>
    </row>
    <row r="249" spans="2:10" ht="12.75">
      <c r="B249" s="37" t="s">
        <v>684</v>
      </c>
      <c r="C249" s="92" t="s">
        <v>268</v>
      </c>
      <c r="D249" s="53"/>
      <c r="E249" s="53"/>
      <c r="F249" s="53"/>
      <c r="G249" s="54"/>
      <c r="H249" s="84">
        <v>8000000</v>
      </c>
      <c r="I249" s="84">
        <v>0</v>
      </c>
      <c r="J249" s="112">
        <v>0</v>
      </c>
    </row>
    <row r="250" spans="2:10" ht="12.75">
      <c r="B250" s="38"/>
      <c r="C250" s="94"/>
      <c r="D250" s="53" t="s">
        <v>269</v>
      </c>
      <c r="E250" s="53"/>
      <c r="F250" s="53"/>
      <c r="G250" s="54"/>
      <c r="H250" s="84">
        <v>0</v>
      </c>
      <c r="I250" s="84">
        <v>2295335</v>
      </c>
      <c r="J250" s="112">
        <v>-2295335</v>
      </c>
    </row>
    <row r="251" spans="2:10" ht="12.75">
      <c r="B251" s="38"/>
      <c r="C251" s="94"/>
      <c r="D251" s="53" t="s">
        <v>271</v>
      </c>
      <c r="E251" s="53"/>
      <c r="F251" s="53"/>
      <c r="G251" s="54"/>
      <c r="H251" s="84">
        <v>0</v>
      </c>
      <c r="I251" s="84">
        <v>5614331</v>
      </c>
      <c r="J251" s="112">
        <v>234315570.658337</v>
      </c>
    </row>
    <row r="252" spans="2:10" ht="12.75">
      <c r="B252" s="38"/>
      <c r="C252" s="92"/>
      <c r="D252" s="53" t="s">
        <v>672</v>
      </c>
      <c r="E252" s="53"/>
      <c r="F252" s="53"/>
      <c r="G252" s="54"/>
      <c r="H252" s="84">
        <v>0</v>
      </c>
      <c r="I252" s="84">
        <v>90334</v>
      </c>
      <c r="J252" s="112">
        <v>-227270466.32500368</v>
      </c>
    </row>
    <row r="253" spans="2:10" ht="12.75">
      <c r="B253" s="38"/>
      <c r="C253" s="93" t="s">
        <v>274</v>
      </c>
      <c r="D253" s="53"/>
      <c r="E253" s="53"/>
      <c r="F253" s="53"/>
      <c r="G253" s="54"/>
      <c r="H253" s="84"/>
      <c r="I253" s="84"/>
      <c r="J253" s="112"/>
    </row>
    <row r="254" spans="2:10" ht="12.75">
      <c r="B254" s="38"/>
      <c r="C254" s="93"/>
      <c r="D254" s="53"/>
      <c r="E254" s="53"/>
      <c r="F254" s="53"/>
      <c r="G254" s="54"/>
      <c r="H254" s="84"/>
      <c r="I254" s="84"/>
      <c r="J254" s="112"/>
    </row>
    <row r="255" spans="2:10" ht="12.75">
      <c r="B255" s="37" t="s">
        <v>684</v>
      </c>
      <c r="C255" s="53" t="s">
        <v>673</v>
      </c>
      <c r="D255" s="53"/>
      <c r="E255" s="53"/>
      <c r="F255" s="53"/>
      <c r="G255" s="54"/>
      <c r="H255" s="84">
        <v>0</v>
      </c>
      <c r="I255" s="84">
        <v>32256677.596480906</v>
      </c>
      <c r="J255" s="52">
        <v>-43320951.32082107</v>
      </c>
    </row>
    <row r="256" spans="2:10" ht="12.75">
      <c r="B256" s="38"/>
      <c r="C256" s="93"/>
      <c r="D256" s="53" t="s">
        <v>675</v>
      </c>
      <c r="E256" s="53"/>
      <c r="F256" s="53"/>
      <c r="G256" s="54"/>
      <c r="H256" s="84">
        <v>32256677.596480906</v>
      </c>
      <c r="I256" s="84">
        <v>0</v>
      </c>
      <c r="J256" s="52">
        <v>43320951.32082107</v>
      </c>
    </row>
    <row r="257" spans="2:10" ht="12.75">
      <c r="B257" s="38"/>
      <c r="C257" s="93" t="s">
        <v>458</v>
      </c>
      <c r="D257" s="53"/>
      <c r="E257" s="53"/>
      <c r="F257" s="53"/>
      <c r="G257" s="54"/>
      <c r="H257" s="84"/>
      <c r="I257" s="84"/>
      <c r="J257" s="52"/>
    </row>
    <row r="258" spans="2:10" ht="12.75">
      <c r="B258" s="38"/>
      <c r="C258" s="93"/>
      <c r="D258" s="53"/>
      <c r="E258" s="53"/>
      <c r="F258" s="53"/>
      <c r="G258" s="54"/>
      <c r="H258" s="84"/>
      <c r="I258" s="84"/>
      <c r="J258" s="112"/>
    </row>
    <row r="259" spans="2:10" ht="12.75">
      <c r="B259" s="37" t="s">
        <v>684</v>
      </c>
      <c r="C259" s="92" t="s">
        <v>269</v>
      </c>
      <c r="D259" s="53"/>
      <c r="E259" s="53"/>
      <c r="F259" s="53"/>
      <c r="G259" s="54"/>
      <c r="H259" s="84">
        <v>2295335</v>
      </c>
      <c r="I259" s="84">
        <v>0</v>
      </c>
      <c r="J259" s="112">
        <v>0</v>
      </c>
    </row>
    <row r="260" spans="2:10" ht="12.75">
      <c r="B260" s="26"/>
      <c r="C260" s="93"/>
      <c r="D260" s="53" t="s">
        <v>679</v>
      </c>
      <c r="E260" s="53"/>
      <c r="F260" s="53"/>
      <c r="G260" s="54"/>
      <c r="H260" s="84">
        <v>0</v>
      </c>
      <c r="I260" s="84">
        <v>2295335</v>
      </c>
      <c r="J260" s="112">
        <v>-7045104.333333333</v>
      </c>
    </row>
    <row r="261" spans="2:10" ht="12.75">
      <c r="B261" s="26"/>
      <c r="C261" s="93" t="s">
        <v>643</v>
      </c>
      <c r="D261" s="53"/>
      <c r="E261" s="53"/>
      <c r="F261" s="53"/>
      <c r="G261" s="54"/>
      <c r="H261" s="84"/>
      <c r="I261" s="84"/>
      <c r="J261" s="112"/>
    </row>
    <row r="262" spans="2:10" ht="12.75">
      <c r="B262" s="26"/>
      <c r="C262" s="93"/>
      <c r="D262" s="53"/>
      <c r="E262" s="53"/>
      <c r="F262" s="53"/>
      <c r="G262" s="54"/>
      <c r="H262" s="84"/>
      <c r="I262" s="84"/>
      <c r="J262" s="112"/>
    </row>
    <row r="263" spans="2:9" ht="13.5" thickBot="1">
      <c r="B263" s="111"/>
      <c r="C263" s="109"/>
      <c r="D263" s="110"/>
      <c r="E263" s="110"/>
      <c r="F263" s="110"/>
      <c r="G263" s="47"/>
      <c r="H263" s="111"/>
      <c r="I263" s="111"/>
    </row>
    <row r="264" spans="2:3" ht="12.75">
      <c r="B264"/>
      <c r="C264"/>
    </row>
    <row r="265" spans="2:3" ht="12.75">
      <c r="B265" s="10" t="s">
        <v>469</v>
      </c>
      <c r="C265"/>
    </row>
    <row r="266" spans="2:3" ht="12.75">
      <c r="B266" s="10" t="s">
        <v>470</v>
      </c>
      <c r="C266"/>
    </row>
    <row r="267" spans="2:3" ht="12.75">
      <c r="B267" s="10" t="s">
        <v>471</v>
      </c>
      <c r="C267"/>
    </row>
    <row r="268" spans="2:3" ht="12.75">
      <c r="B268" s="10" t="s">
        <v>472</v>
      </c>
      <c r="C268"/>
    </row>
    <row r="269" spans="2:3" ht="12.75">
      <c r="B269" s="10"/>
      <c r="C269"/>
    </row>
    <row r="270" spans="2:10" ht="12.75">
      <c r="B270" s="10" t="s">
        <v>473</v>
      </c>
      <c r="C270" s="10"/>
      <c r="D270" s="10"/>
      <c r="E270" s="10"/>
      <c r="F270" s="10"/>
      <c r="G270" s="10"/>
      <c r="H270" s="10"/>
      <c r="I270" s="10"/>
      <c r="J270" s="10"/>
    </row>
    <row r="271" spans="2:10" ht="12.75">
      <c r="B271" s="10" t="s">
        <v>474</v>
      </c>
      <c r="C271" s="10"/>
      <c r="D271" s="10"/>
      <c r="E271" s="10"/>
      <c r="F271" s="10"/>
      <c r="G271" s="10"/>
      <c r="H271" s="10"/>
      <c r="I271" s="10"/>
      <c r="J271" s="10"/>
    </row>
    <row r="272" spans="2:10" ht="12.75">
      <c r="B272" s="10" t="s">
        <v>475</v>
      </c>
      <c r="C272" s="10"/>
      <c r="D272" s="10"/>
      <c r="E272" s="10"/>
      <c r="F272" s="10"/>
      <c r="G272" s="10"/>
      <c r="H272" s="10"/>
      <c r="I272" s="10"/>
      <c r="J272" s="10"/>
    </row>
    <row r="273" spans="2:10" ht="12.75">
      <c r="B273" s="10" t="s">
        <v>476</v>
      </c>
      <c r="C273" s="10"/>
      <c r="D273" s="10"/>
      <c r="E273" s="10"/>
      <c r="F273" s="10"/>
      <c r="G273" s="10"/>
      <c r="H273" s="10"/>
      <c r="I273" s="10"/>
      <c r="J273" s="10"/>
    </row>
    <row r="274" spans="2:10" ht="12.75">
      <c r="B274" s="10" t="s">
        <v>477</v>
      </c>
      <c r="C274" s="10"/>
      <c r="D274" s="10"/>
      <c r="E274" s="10"/>
      <c r="F274" s="10"/>
      <c r="G274" s="10"/>
      <c r="H274" s="10"/>
      <c r="I274" s="10"/>
      <c r="J274" s="10"/>
    </row>
    <row r="275" spans="2:10" ht="12.75">
      <c r="B275" s="10" t="s">
        <v>540</v>
      </c>
      <c r="C275" s="10"/>
      <c r="D275" s="10"/>
      <c r="E275" s="10"/>
      <c r="F275" s="10"/>
      <c r="G275" s="10"/>
      <c r="H275" s="10"/>
      <c r="I275" s="10"/>
      <c r="J275" s="10"/>
    </row>
    <row r="276" spans="2:10" ht="12.75">
      <c r="B276" s="10" t="s">
        <v>541</v>
      </c>
      <c r="C276" s="10"/>
      <c r="D276" s="10"/>
      <c r="E276" s="10"/>
      <c r="F276" s="10"/>
      <c r="G276" s="10"/>
      <c r="H276" s="10"/>
      <c r="I276" s="10"/>
      <c r="J276" s="10"/>
    </row>
    <row r="277" spans="2:3" ht="12.75">
      <c r="B277" s="10" t="s">
        <v>542</v>
      </c>
      <c r="C277"/>
    </row>
    <row r="278" spans="2:3" ht="12.75">
      <c r="B278" s="10"/>
      <c r="C278"/>
    </row>
    <row r="279" spans="1:3" ht="12.75">
      <c r="A279" s="168" t="s">
        <v>480</v>
      </c>
      <c r="B279" s="168" t="s">
        <v>480</v>
      </c>
      <c r="C279" s="168" t="s">
        <v>481</v>
      </c>
    </row>
    <row r="280" spans="1:3" ht="12.75">
      <c r="A280" s="168" t="s">
        <v>482</v>
      </c>
      <c r="B280" s="168" t="s">
        <v>483</v>
      </c>
      <c r="C280" s="168" t="s">
        <v>484</v>
      </c>
    </row>
    <row r="281" spans="1:3" ht="12.75">
      <c r="A281" t="s">
        <v>485</v>
      </c>
      <c r="B281" s="168">
        <v>10</v>
      </c>
      <c r="C281" s="168">
        <v>11</v>
      </c>
    </row>
    <row r="282" ht="13.5" thickBot="1"/>
    <row r="283" spans="2:9" ht="13.5" thickBot="1">
      <c r="B283"/>
      <c r="C283" t="s">
        <v>69</v>
      </c>
      <c r="D283" s="172" t="s">
        <v>68</v>
      </c>
      <c r="E283" s="30"/>
      <c r="F283" s="172" t="s">
        <v>70</v>
      </c>
      <c r="G283" s="30"/>
      <c r="H283" s="172" t="s">
        <v>71</v>
      </c>
      <c r="I283" s="30"/>
    </row>
    <row r="284" spans="2:9" ht="12.75">
      <c r="B284"/>
      <c r="C284"/>
      <c r="D284" s="182" t="s">
        <v>285</v>
      </c>
      <c r="E284" s="182" t="s">
        <v>285</v>
      </c>
      <c r="F284" s="182" t="s">
        <v>285</v>
      </c>
      <c r="G284" s="182" t="s">
        <v>285</v>
      </c>
      <c r="H284" s="182" t="s">
        <v>285</v>
      </c>
      <c r="I284" s="182" t="s">
        <v>285</v>
      </c>
    </row>
    <row r="285" spans="2:9" ht="12.75">
      <c r="B285"/>
      <c r="C285"/>
      <c r="D285" s="183" t="s">
        <v>286</v>
      </c>
      <c r="E285" s="183" t="s">
        <v>288</v>
      </c>
      <c r="F285" s="183" t="s">
        <v>286</v>
      </c>
      <c r="G285" s="183" t="s">
        <v>288</v>
      </c>
      <c r="H285" s="183" t="s">
        <v>286</v>
      </c>
      <c r="I285" s="183" t="s">
        <v>288</v>
      </c>
    </row>
    <row r="286" spans="2:9" ht="13.5" thickBot="1">
      <c r="B286"/>
      <c r="C286"/>
      <c r="D286" s="184" t="s">
        <v>287</v>
      </c>
      <c r="E286" s="184" t="s">
        <v>287</v>
      </c>
      <c r="F286" s="184" t="s">
        <v>287</v>
      </c>
      <c r="G286" s="184" t="s">
        <v>287</v>
      </c>
      <c r="H286" s="184" t="s">
        <v>287</v>
      </c>
      <c r="I286" s="184" t="s">
        <v>287</v>
      </c>
    </row>
    <row r="287" spans="1:9" ht="13.5" thickBot="1">
      <c r="A287" t="s">
        <v>66</v>
      </c>
      <c r="B287"/>
      <c r="C287"/>
      <c r="D287" s="180">
        <v>0.009566668926362048</v>
      </c>
      <c r="E287" s="180">
        <v>0.010192642323140605</v>
      </c>
      <c r="F287" s="180">
        <v>0.009566668926362048</v>
      </c>
      <c r="G287" s="180">
        <v>0.010192642323140605</v>
      </c>
      <c r="H287" s="180">
        <v>0.009566668926362048</v>
      </c>
      <c r="I287" s="180">
        <v>0.010192642323140605</v>
      </c>
    </row>
    <row r="288" spans="1:9" ht="13.5" thickBot="1">
      <c r="A288" t="s">
        <v>67</v>
      </c>
      <c r="B288"/>
      <c r="C288"/>
      <c r="D288" s="180">
        <v>0.007536126128832709</v>
      </c>
      <c r="E288" s="180">
        <v>0.007536126128832709</v>
      </c>
      <c r="F288" s="180">
        <v>0.009564483303425844</v>
      </c>
      <c r="G288" s="180">
        <v>0.011561839076893479</v>
      </c>
      <c r="H288" s="180">
        <v>0.009568790389227304</v>
      </c>
      <c r="I288" s="180">
        <v>0.016615453178660717</v>
      </c>
    </row>
    <row r="289" spans="2:9" ht="13.5" thickBot="1">
      <c r="B289"/>
      <c r="C289"/>
      <c r="D289" s="60"/>
      <c r="E289" s="60"/>
      <c r="F289" s="60"/>
      <c r="G289" s="60"/>
      <c r="H289" s="60"/>
      <c r="I289" s="60"/>
    </row>
    <row r="290" spans="1:9" ht="13.5" thickBot="1">
      <c r="A290" t="s">
        <v>72</v>
      </c>
      <c r="B290"/>
      <c r="C290"/>
      <c r="D290" s="175">
        <v>1977.4165</v>
      </c>
      <c r="E290" s="175"/>
      <c r="F290" s="175">
        <v>1977.4165</v>
      </c>
      <c r="G290" s="175"/>
      <c r="H290" s="175">
        <v>1977.4165</v>
      </c>
      <c r="I290" s="175"/>
    </row>
    <row r="291" spans="2:9" ht="12.75">
      <c r="B291" s="10" t="s">
        <v>133</v>
      </c>
      <c r="C291"/>
      <c r="D291" s="60"/>
      <c r="E291" s="60"/>
      <c r="F291" s="60"/>
      <c r="G291" s="60"/>
      <c r="H291" s="60"/>
      <c r="I291" s="60"/>
    </row>
    <row r="292" spans="2:9" ht="12.75">
      <c r="B292" s="10" t="s">
        <v>315</v>
      </c>
      <c r="C292"/>
      <c r="D292" s="60"/>
      <c r="E292" s="60"/>
      <c r="F292" s="60"/>
      <c r="G292" s="60"/>
      <c r="H292" s="60"/>
      <c r="I292" s="60"/>
    </row>
    <row r="293" spans="2:9" ht="12.75">
      <c r="B293" s="10" t="s">
        <v>316</v>
      </c>
      <c r="C293"/>
      <c r="D293" s="60"/>
      <c r="E293" s="60"/>
      <c r="F293" s="60"/>
      <c r="G293" s="60"/>
      <c r="H293" s="60"/>
      <c r="I293" s="60"/>
    </row>
    <row r="294" spans="2:9" ht="12.75">
      <c r="B294"/>
      <c r="C294"/>
      <c r="D294" s="60"/>
      <c r="E294" s="60"/>
      <c r="F294" s="60"/>
      <c r="G294" s="60"/>
      <c r="H294" s="60"/>
      <c r="I294" s="60"/>
    </row>
    <row r="295" spans="1:5" ht="12.75">
      <c r="A295" s="6" t="s">
        <v>291</v>
      </c>
      <c r="B295" s="6"/>
      <c r="C295" s="6"/>
      <c r="D295" s="6"/>
      <c r="E295" s="6"/>
    </row>
    <row r="296" spans="1:5" ht="12.75">
      <c r="A296" s="6" t="s">
        <v>697</v>
      </c>
      <c r="B296" s="6"/>
      <c r="C296" s="6"/>
      <c r="D296" s="6"/>
      <c r="E296" s="6"/>
    </row>
    <row r="297" spans="1:5" ht="12.75">
      <c r="A297" s="6" t="s">
        <v>698</v>
      </c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 t="s">
        <v>695</v>
      </c>
      <c r="B299" s="6"/>
      <c r="C299" s="6"/>
      <c r="D299" s="6"/>
      <c r="E299" s="6"/>
    </row>
    <row r="300" spans="1:3" ht="12.75">
      <c r="A300" s="6" t="s">
        <v>696</v>
      </c>
      <c r="B300"/>
      <c r="C300"/>
    </row>
    <row r="301" spans="1:3" ht="12.75">
      <c r="A301" s="6"/>
      <c r="B301"/>
      <c r="C301"/>
    </row>
    <row r="302" spans="1:3" ht="12.75">
      <c r="A302" s="168" t="s">
        <v>480</v>
      </c>
      <c r="B302" s="168" t="s">
        <v>480</v>
      </c>
      <c r="C302" s="168" t="s">
        <v>481</v>
      </c>
    </row>
    <row r="303" spans="1:3" ht="12.75">
      <c r="A303" s="168" t="s">
        <v>482</v>
      </c>
      <c r="B303" s="168" t="s">
        <v>483</v>
      </c>
      <c r="C303" s="168" t="s">
        <v>484</v>
      </c>
    </row>
    <row r="304" spans="1:3" ht="12.75">
      <c r="A304" t="s">
        <v>485</v>
      </c>
      <c r="B304" s="168">
        <v>10</v>
      </c>
      <c r="C304" s="168">
        <v>12</v>
      </c>
    </row>
    <row r="306" spans="2:3" ht="12.75">
      <c r="B306" s="2" t="s">
        <v>560</v>
      </c>
      <c r="C306"/>
    </row>
    <row r="307" spans="2:3" ht="12.75">
      <c r="B307"/>
      <c r="C307"/>
    </row>
    <row r="308" spans="2:3" ht="12.75">
      <c r="B308" s="95" t="s">
        <v>294</v>
      </c>
      <c r="C308"/>
    </row>
    <row r="309" spans="2:3" ht="13.5" thickBot="1">
      <c r="B309"/>
      <c r="C309"/>
    </row>
    <row r="310" spans="2:9" ht="12.75" customHeight="1" thickTop="1">
      <c r="B310" s="18" t="s">
        <v>668</v>
      </c>
      <c r="C310" s="19" t="s">
        <v>215</v>
      </c>
      <c r="D310" s="125" t="s">
        <v>575</v>
      </c>
      <c r="E310" s="19"/>
      <c r="F310" s="19"/>
      <c r="G310" s="20"/>
      <c r="H310" s="25"/>
      <c r="I310" s="39"/>
    </row>
    <row r="311" spans="2:10" ht="12.75" customHeight="1" thickBot="1">
      <c r="B311" s="28" t="s">
        <v>671</v>
      </c>
      <c r="C311" s="16"/>
      <c r="D311" s="124" t="s">
        <v>573</v>
      </c>
      <c r="E311" s="16"/>
      <c r="F311" s="16"/>
      <c r="G311" s="17"/>
      <c r="H311" s="28" t="s">
        <v>669</v>
      </c>
      <c r="I311" s="99" t="s">
        <v>670</v>
      </c>
      <c r="J311" s="11" t="s">
        <v>683</v>
      </c>
    </row>
    <row r="312" spans="2:10" ht="12.75" customHeight="1">
      <c r="B312" s="36" t="s">
        <v>680</v>
      </c>
      <c r="C312" s="91" t="s">
        <v>266</v>
      </c>
      <c r="D312" s="49"/>
      <c r="E312" s="49"/>
      <c r="F312" s="49"/>
      <c r="G312" s="50"/>
      <c r="H312" s="105">
        <v>251000000</v>
      </c>
      <c r="I312" s="105">
        <v>0</v>
      </c>
      <c r="J312" s="52">
        <f>H312-I312</f>
        <v>251000000</v>
      </c>
    </row>
    <row r="313" spans="2:10" ht="12.75" customHeight="1">
      <c r="B313" s="37"/>
      <c r="C313" s="92"/>
      <c r="D313" s="60" t="s">
        <v>672</v>
      </c>
      <c r="E313" s="60"/>
      <c r="F313" s="60"/>
      <c r="G313" s="82"/>
      <c r="H313" s="106">
        <v>0</v>
      </c>
      <c r="I313" s="106">
        <f>H312</f>
        <v>251000000</v>
      </c>
      <c r="J313" s="52">
        <f>H313-I313</f>
        <v>-251000000</v>
      </c>
    </row>
    <row r="314" spans="2:10" ht="12.75" customHeight="1">
      <c r="B314" s="37"/>
      <c r="C314" s="93" t="s">
        <v>267</v>
      </c>
      <c r="D314" s="60"/>
      <c r="E314" s="60"/>
      <c r="F314" s="60"/>
      <c r="G314" s="82"/>
      <c r="H314" s="51"/>
      <c r="I314" s="51"/>
      <c r="J314" s="52"/>
    </row>
    <row r="315" spans="2:10" ht="12.75" customHeight="1">
      <c r="B315" s="37"/>
      <c r="C315" s="93"/>
      <c r="D315" s="60"/>
      <c r="E315" s="60"/>
      <c r="F315" s="60"/>
      <c r="G315" s="82"/>
      <c r="H315" s="51"/>
      <c r="I315" s="51"/>
      <c r="J315" s="52"/>
    </row>
    <row r="316" spans="2:10" ht="12.75" customHeight="1">
      <c r="B316" s="37" t="s">
        <v>680</v>
      </c>
      <c r="C316" s="94" t="s">
        <v>310</v>
      </c>
      <c r="D316" s="60"/>
      <c r="E316" s="60"/>
      <c r="F316" s="60"/>
      <c r="G316" s="82"/>
      <c r="H316" s="51" t="s">
        <v>215</v>
      </c>
      <c r="I316" s="51" t="s">
        <v>215</v>
      </c>
      <c r="J316" s="52" t="s">
        <v>215</v>
      </c>
    </row>
    <row r="317" spans="2:10" ht="12.75" customHeight="1">
      <c r="B317" s="26"/>
      <c r="C317" s="94"/>
      <c r="D317" s="31" t="s">
        <v>310</v>
      </c>
      <c r="E317" s="31"/>
      <c r="F317" s="31"/>
      <c r="G317" s="54"/>
      <c r="H317" s="51" t="s">
        <v>215</v>
      </c>
      <c r="I317" s="51" t="s">
        <v>311</v>
      </c>
      <c r="J317" s="52" t="s">
        <v>215</v>
      </c>
    </row>
    <row r="318" spans="2:10" ht="12.75" customHeight="1">
      <c r="B318" s="26"/>
      <c r="C318" s="123" t="s">
        <v>313</v>
      </c>
      <c r="D318" s="31"/>
      <c r="E318" s="31"/>
      <c r="F318" s="31"/>
      <c r="G318" s="54"/>
      <c r="H318" s="55"/>
      <c r="I318" s="55"/>
      <c r="J318" s="52"/>
    </row>
    <row r="319" spans="2:10" ht="12.75" customHeight="1">
      <c r="B319" s="37"/>
      <c r="C319" s="92"/>
      <c r="D319" s="60"/>
      <c r="E319" s="60"/>
      <c r="F319" s="60"/>
      <c r="G319" s="82"/>
      <c r="H319" s="51"/>
      <c r="I319" s="51"/>
      <c r="J319" s="52"/>
    </row>
    <row r="320" spans="2:10" ht="12.75" customHeight="1">
      <c r="B320" s="37" t="s">
        <v>681</v>
      </c>
      <c r="C320" s="92" t="s">
        <v>672</v>
      </c>
      <c r="D320" s="53"/>
      <c r="E320" s="53"/>
      <c r="F320" s="53"/>
      <c r="G320" s="54"/>
      <c r="H320" s="84">
        <f>1850*4000</f>
        <v>7400000</v>
      </c>
      <c r="I320" s="51">
        <v>0</v>
      </c>
      <c r="J320" s="52">
        <f>H320-I320+J313</f>
        <v>-243600000</v>
      </c>
    </row>
    <row r="321" spans="2:10" ht="12.75" customHeight="1">
      <c r="B321" s="38"/>
      <c r="C321" s="92"/>
      <c r="D321" s="53" t="s">
        <v>268</v>
      </c>
      <c r="E321" s="53"/>
      <c r="F321" s="53"/>
      <c r="G321" s="54"/>
      <c r="H321" s="51">
        <v>0</v>
      </c>
      <c r="I321" s="85">
        <f>H320</f>
        <v>7400000</v>
      </c>
      <c r="J321" s="52">
        <f>H321-I321</f>
        <v>-7400000</v>
      </c>
    </row>
    <row r="322" spans="2:10" ht="12.75" customHeight="1">
      <c r="B322" s="38"/>
      <c r="C322" s="93" t="s">
        <v>295</v>
      </c>
      <c r="D322" s="53"/>
      <c r="E322" s="53"/>
      <c r="F322" s="53"/>
      <c r="G322" s="54"/>
      <c r="H322" s="55"/>
      <c r="I322" s="55"/>
      <c r="J322" s="52"/>
    </row>
    <row r="323" spans="2:10" ht="12.75" customHeight="1">
      <c r="B323" s="38"/>
      <c r="C323" s="93"/>
      <c r="D323" s="53"/>
      <c r="E323" s="53"/>
      <c r="F323" s="53"/>
      <c r="G323" s="54"/>
      <c r="H323" s="55"/>
      <c r="I323" s="55"/>
      <c r="J323" s="52"/>
    </row>
    <row r="324" spans="2:10" ht="12.75" customHeight="1">
      <c r="B324" s="37" t="s">
        <v>680</v>
      </c>
      <c r="C324" s="94" t="s">
        <v>312</v>
      </c>
      <c r="D324" s="60"/>
      <c r="E324" s="60"/>
      <c r="F324" s="60"/>
      <c r="G324" s="82"/>
      <c r="H324" s="51" t="s">
        <v>215</v>
      </c>
      <c r="I324" s="51" t="s">
        <v>215</v>
      </c>
      <c r="J324" s="52" t="s">
        <v>215</v>
      </c>
    </row>
    <row r="325" spans="2:10" ht="12.75" customHeight="1">
      <c r="B325" s="26"/>
      <c r="C325" s="94"/>
      <c r="D325" s="31" t="s">
        <v>312</v>
      </c>
      <c r="E325" s="31"/>
      <c r="F325" s="31"/>
      <c r="G325" s="54"/>
      <c r="H325" s="51" t="s">
        <v>215</v>
      </c>
      <c r="I325" s="51" t="s">
        <v>311</v>
      </c>
      <c r="J325" s="52" t="s">
        <v>215</v>
      </c>
    </row>
    <row r="326" spans="2:10" ht="12.75" customHeight="1">
      <c r="B326" s="26"/>
      <c r="C326" s="123" t="s">
        <v>313</v>
      </c>
      <c r="D326" s="31"/>
      <c r="E326" s="31"/>
      <c r="F326" s="31"/>
      <c r="G326" s="54"/>
      <c r="H326" s="55"/>
      <c r="I326" s="55"/>
      <c r="J326" s="52"/>
    </row>
    <row r="327" spans="2:10" ht="12.75" customHeight="1">
      <c r="B327" s="38"/>
      <c r="C327" s="93"/>
      <c r="D327" s="53"/>
      <c r="E327" s="53"/>
      <c r="F327" s="53"/>
      <c r="G327" s="54"/>
      <c r="H327" s="55"/>
      <c r="I327" s="55"/>
      <c r="J327" s="52"/>
    </row>
    <row r="328" spans="2:10" ht="12.75" customHeight="1">
      <c r="B328" s="37" t="s">
        <v>681</v>
      </c>
      <c r="C328" s="92" t="s">
        <v>268</v>
      </c>
      <c r="D328" s="53"/>
      <c r="E328" s="53"/>
      <c r="F328" s="53"/>
      <c r="G328" s="54"/>
      <c r="H328" s="84">
        <f>-J321</f>
        <v>7400000</v>
      </c>
      <c r="I328" s="84">
        <v>0</v>
      </c>
      <c r="J328" s="52">
        <f>H328-I328+J321</f>
        <v>0</v>
      </c>
    </row>
    <row r="329" spans="2:10" ht="12.75" customHeight="1">
      <c r="B329" s="38"/>
      <c r="C329" s="94"/>
      <c r="D329" s="53" t="s">
        <v>269</v>
      </c>
      <c r="E329" s="53"/>
      <c r="F329" s="53"/>
      <c r="G329" s="54"/>
      <c r="H329" s="84">
        <v>0</v>
      </c>
      <c r="I329" s="84">
        <v>2401233.333333333</v>
      </c>
      <c r="J329" s="52">
        <f>H329-I329</f>
        <v>-2401233.333333333</v>
      </c>
    </row>
    <row r="330" spans="2:10" ht="12.75" customHeight="1">
      <c r="B330" s="38"/>
      <c r="C330" s="94"/>
      <c r="D330" s="53" t="s">
        <v>271</v>
      </c>
      <c r="E330" s="53"/>
      <c r="F330" s="53"/>
      <c r="G330" s="54"/>
      <c r="H330" s="84">
        <v>0</v>
      </c>
      <c r="I330" s="84">
        <v>5508432.341662991</v>
      </c>
      <c r="J330" s="52">
        <f>H330-I330+J312</f>
        <v>245491567.658337</v>
      </c>
    </row>
    <row r="331" spans="2:10" ht="12.75" customHeight="1">
      <c r="B331" s="38"/>
      <c r="C331" s="94"/>
      <c r="D331" s="53" t="s">
        <v>555</v>
      </c>
      <c r="E331" s="53"/>
      <c r="F331" s="53"/>
      <c r="G331" s="54"/>
      <c r="H331" s="84">
        <f>SUM(I328:I330)-SUM(H328:H330)</f>
        <v>509665.6749963239</v>
      </c>
      <c r="I331" s="84">
        <v>0</v>
      </c>
      <c r="J331" s="52">
        <f>H331-I331</f>
        <v>509665.6749963239</v>
      </c>
    </row>
    <row r="332" spans="2:10" ht="12.75" customHeight="1">
      <c r="B332" s="38"/>
      <c r="C332" s="92"/>
      <c r="D332" s="53" t="s">
        <v>672</v>
      </c>
      <c r="E332" s="53"/>
      <c r="F332" s="53"/>
      <c r="G332" s="54"/>
      <c r="H332" s="84">
        <v>0</v>
      </c>
      <c r="I332" s="84">
        <v>0</v>
      </c>
      <c r="J332" s="52">
        <f>H332-I332+J320</f>
        <v>-243600000</v>
      </c>
    </row>
    <row r="333" spans="2:10" ht="12.75" customHeight="1">
      <c r="B333" s="38"/>
      <c r="C333" s="93" t="s">
        <v>274</v>
      </c>
      <c r="D333" s="53"/>
      <c r="E333" s="53"/>
      <c r="F333" s="53"/>
      <c r="G333" s="54"/>
      <c r="H333" s="84" t="s">
        <v>215</v>
      </c>
      <c r="I333" s="84" t="s">
        <v>215</v>
      </c>
      <c r="J333" s="52"/>
    </row>
    <row r="334" spans="2:10" ht="12.75" customHeight="1">
      <c r="B334" s="38"/>
      <c r="C334" s="92"/>
      <c r="D334" s="53"/>
      <c r="E334" s="53"/>
      <c r="F334" s="53"/>
      <c r="G334" s="54"/>
      <c r="H334" s="84" t="s">
        <v>215</v>
      </c>
      <c r="I334" s="84"/>
      <c r="J334" s="52"/>
    </row>
    <row r="335" spans="2:10" ht="12.75" customHeight="1">
      <c r="B335" s="37" t="s">
        <v>681</v>
      </c>
      <c r="C335" s="92" t="s">
        <v>269</v>
      </c>
      <c r="D335" s="53"/>
      <c r="E335" s="53"/>
      <c r="F335" s="53"/>
      <c r="G335" s="54"/>
      <c r="H335" s="84">
        <f>-J329</f>
        <v>2401233.333333333</v>
      </c>
      <c r="I335" s="51">
        <v>0</v>
      </c>
      <c r="J335" s="52">
        <f>H335-I335+J329</f>
        <v>0</v>
      </c>
    </row>
    <row r="336" spans="2:10" ht="12.75" customHeight="1">
      <c r="B336" s="37"/>
      <c r="C336" s="92"/>
      <c r="D336" s="53" t="s">
        <v>555</v>
      </c>
      <c r="E336" s="53"/>
      <c r="F336" s="53"/>
      <c r="G336" s="54"/>
      <c r="H336" s="51">
        <v>0</v>
      </c>
      <c r="I336" s="84">
        <f>J331</f>
        <v>509665.6749963239</v>
      </c>
      <c r="J336" s="52">
        <f>H336-I336+J331</f>
        <v>0</v>
      </c>
    </row>
    <row r="337" spans="2:10" ht="12.75" customHeight="1">
      <c r="B337" s="26"/>
      <c r="C337" s="93"/>
      <c r="D337" s="53" t="s">
        <v>679</v>
      </c>
      <c r="E337" s="53"/>
      <c r="F337" s="53"/>
      <c r="G337" s="54"/>
      <c r="H337" s="51">
        <v>0</v>
      </c>
      <c r="I337" s="84">
        <f>H335-I335+H337-I336</f>
        <v>1891567.6583370091</v>
      </c>
      <c r="J337" s="52">
        <f>H337-I337</f>
        <v>-1891567.6583370091</v>
      </c>
    </row>
    <row r="338" spans="2:10" ht="12.75" customHeight="1">
      <c r="B338" s="26"/>
      <c r="C338" s="93" t="s">
        <v>643</v>
      </c>
      <c r="D338" s="53"/>
      <c r="E338" s="53"/>
      <c r="F338" s="53"/>
      <c r="G338" s="54"/>
      <c r="H338" s="55"/>
      <c r="I338" s="55"/>
      <c r="J338" s="52"/>
    </row>
    <row r="339" spans="2:10" ht="12.75" customHeight="1" thickBot="1">
      <c r="B339" s="35"/>
      <c r="C339" s="113"/>
      <c r="D339" s="114"/>
      <c r="E339" s="114"/>
      <c r="F339" s="114"/>
      <c r="G339" s="115"/>
      <c r="H339" s="116"/>
      <c r="I339" s="116"/>
      <c r="J339" s="117"/>
    </row>
    <row r="340" spans="2:10" ht="12.75" customHeight="1">
      <c r="B340" s="26"/>
      <c r="C340" s="93"/>
      <c r="D340" s="53"/>
      <c r="E340" s="53"/>
      <c r="F340" s="53"/>
      <c r="G340" s="54"/>
      <c r="H340" s="55"/>
      <c r="I340" s="55"/>
      <c r="J340" s="52"/>
    </row>
    <row r="341" spans="2:10" ht="12.75" customHeight="1">
      <c r="B341" s="37" t="s">
        <v>682</v>
      </c>
      <c r="C341" s="92" t="s">
        <v>672</v>
      </c>
      <c r="D341" s="53"/>
      <c r="E341" s="53"/>
      <c r="F341" s="53"/>
      <c r="G341" s="54"/>
      <c r="H341" s="84">
        <f>2100*4000</f>
        <v>8400000</v>
      </c>
      <c r="I341" s="51">
        <v>0</v>
      </c>
      <c r="J341" s="52">
        <f>H341-I341+J332</f>
        <v>-235200000</v>
      </c>
    </row>
    <row r="342" spans="2:10" ht="12.75" customHeight="1">
      <c r="B342" s="38"/>
      <c r="C342" s="92"/>
      <c r="D342" s="53" t="s">
        <v>268</v>
      </c>
      <c r="E342" s="53"/>
      <c r="F342" s="53"/>
      <c r="G342" s="54"/>
      <c r="H342" s="84">
        <v>0</v>
      </c>
      <c r="I342" s="84">
        <f>H341</f>
        <v>8400000</v>
      </c>
      <c r="J342" s="52">
        <f>H342-I342</f>
        <v>-8400000</v>
      </c>
    </row>
    <row r="343" spans="2:10" ht="12.75" customHeight="1">
      <c r="B343" s="38"/>
      <c r="C343" s="93" t="s">
        <v>295</v>
      </c>
      <c r="D343" s="53"/>
      <c r="E343" s="53"/>
      <c r="F343" s="53"/>
      <c r="G343" s="54"/>
      <c r="H343" s="84"/>
      <c r="I343" s="84"/>
      <c r="J343" s="112"/>
    </row>
    <row r="344" spans="2:10" ht="12.75" customHeight="1">
      <c r="B344" s="38"/>
      <c r="C344" s="93"/>
      <c r="D344" s="53"/>
      <c r="E344" s="53"/>
      <c r="F344" s="53"/>
      <c r="G344" s="54"/>
      <c r="H344" s="84"/>
      <c r="I344" s="84"/>
      <c r="J344" s="112"/>
    </row>
    <row r="345" spans="2:10" ht="12.75" customHeight="1">
      <c r="B345" s="37" t="s">
        <v>682</v>
      </c>
      <c r="C345" s="94" t="s">
        <v>312</v>
      </c>
      <c r="D345" s="60"/>
      <c r="E345" s="60"/>
      <c r="F345" s="60"/>
      <c r="G345" s="82"/>
      <c r="H345" s="51" t="s">
        <v>215</v>
      </c>
      <c r="I345" s="51" t="s">
        <v>215</v>
      </c>
      <c r="J345" s="52" t="s">
        <v>215</v>
      </c>
    </row>
    <row r="346" spans="2:10" ht="12.75" customHeight="1">
      <c r="B346" s="26"/>
      <c r="C346" s="94"/>
      <c r="D346" s="31" t="s">
        <v>312</v>
      </c>
      <c r="E346" s="31"/>
      <c r="F346" s="31"/>
      <c r="G346" s="54"/>
      <c r="H346" s="51" t="s">
        <v>215</v>
      </c>
      <c r="I346" s="51" t="s">
        <v>311</v>
      </c>
      <c r="J346" s="52" t="s">
        <v>215</v>
      </c>
    </row>
    <row r="347" spans="2:10" ht="12.75" customHeight="1">
      <c r="B347" s="26"/>
      <c r="C347" s="123" t="s">
        <v>313</v>
      </c>
      <c r="D347" s="31"/>
      <c r="E347" s="31"/>
      <c r="F347" s="31"/>
      <c r="G347" s="54"/>
      <c r="H347" s="55"/>
      <c r="I347" s="55"/>
      <c r="J347" s="52"/>
    </row>
    <row r="348" spans="2:10" ht="12.75" customHeight="1">
      <c r="B348" s="38"/>
      <c r="C348" s="93"/>
      <c r="D348" s="53"/>
      <c r="E348" s="53"/>
      <c r="F348" s="53"/>
      <c r="G348" s="54"/>
      <c r="H348" s="84"/>
      <c r="I348" s="84"/>
      <c r="J348" s="112"/>
    </row>
    <row r="349" spans="2:10" ht="12.75" customHeight="1">
      <c r="B349" s="37" t="s">
        <v>682</v>
      </c>
      <c r="C349" s="92" t="s">
        <v>268</v>
      </c>
      <c r="D349" s="53"/>
      <c r="E349" s="53"/>
      <c r="F349" s="53"/>
      <c r="G349" s="54"/>
      <c r="H349" s="84">
        <f>-J342</f>
        <v>8400000</v>
      </c>
      <c r="I349" s="84">
        <v>0</v>
      </c>
      <c r="J349" s="52">
        <f>H349-I349+J342</f>
        <v>0</v>
      </c>
    </row>
    <row r="350" spans="2:10" ht="12.75" customHeight="1">
      <c r="B350" s="38"/>
      <c r="C350" s="94"/>
      <c r="D350" s="53" t="s">
        <v>269</v>
      </c>
      <c r="E350" s="53"/>
      <c r="F350" s="53"/>
      <c r="G350" s="54"/>
      <c r="H350" s="84">
        <v>0</v>
      </c>
      <c r="I350" s="84">
        <v>2348536</v>
      </c>
      <c r="J350" s="112">
        <f>H350-I350</f>
        <v>-2348536</v>
      </c>
    </row>
    <row r="351" spans="2:10" ht="12.75" customHeight="1">
      <c r="B351" s="38"/>
      <c r="C351" s="94"/>
      <c r="D351" s="53" t="s">
        <v>271</v>
      </c>
      <c r="E351" s="53"/>
      <c r="F351" s="53"/>
      <c r="G351" s="54"/>
      <c r="H351" s="84">
        <v>0</v>
      </c>
      <c r="I351" s="84">
        <v>5561130</v>
      </c>
      <c r="J351" s="112">
        <f>H351-I351+J330</f>
        <v>239930437.658337</v>
      </c>
    </row>
    <row r="352" spans="2:10" ht="12.75" customHeight="1">
      <c r="B352" s="38"/>
      <c r="C352" s="94"/>
      <c r="D352" s="53" t="s">
        <v>555</v>
      </c>
      <c r="E352" s="53"/>
      <c r="F352" s="53"/>
      <c r="G352" s="54"/>
      <c r="H352" s="84">
        <v>0</v>
      </c>
      <c r="I352" s="84">
        <v>0</v>
      </c>
      <c r="J352" s="52">
        <f>H352-I352</f>
        <v>0</v>
      </c>
    </row>
    <row r="353" spans="2:10" ht="12.75" customHeight="1">
      <c r="B353" s="38"/>
      <c r="C353" s="92"/>
      <c r="D353" s="53" t="s">
        <v>672</v>
      </c>
      <c r="E353" s="53"/>
      <c r="F353" s="53"/>
      <c r="G353" s="54"/>
      <c r="H353" s="84">
        <v>0</v>
      </c>
      <c r="I353" s="84">
        <f>(H349-I349+H350-I350+H351-I351)</f>
        <v>490334</v>
      </c>
      <c r="J353" s="112">
        <f>H353-I353+J332</f>
        <v>-244090334</v>
      </c>
    </row>
    <row r="354" spans="2:10" ht="12.75" customHeight="1">
      <c r="B354" s="38"/>
      <c r="C354" s="93" t="s">
        <v>274</v>
      </c>
      <c r="D354" s="53"/>
      <c r="E354" s="53"/>
      <c r="F354" s="53"/>
      <c r="G354" s="54"/>
      <c r="H354" s="84"/>
      <c r="I354" s="84" t="s">
        <v>215</v>
      </c>
      <c r="J354" s="112"/>
    </row>
    <row r="355" spans="2:10" ht="12.75" customHeight="1">
      <c r="B355" s="38"/>
      <c r="C355" s="93"/>
      <c r="D355" s="53"/>
      <c r="E355" s="53"/>
      <c r="F355" s="53"/>
      <c r="G355" s="54"/>
      <c r="H355" s="84"/>
      <c r="I355" s="84"/>
      <c r="J355" s="112"/>
    </row>
    <row r="356" spans="2:10" ht="12.75" customHeight="1">
      <c r="B356" s="37" t="s">
        <v>682</v>
      </c>
      <c r="C356" s="92" t="s">
        <v>269</v>
      </c>
      <c r="D356" s="53"/>
      <c r="E356" s="53"/>
      <c r="F356" s="53"/>
      <c r="G356" s="54"/>
      <c r="H356" s="84">
        <f>-J350</f>
        <v>2348536</v>
      </c>
      <c r="I356" s="84">
        <v>0</v>
      </c>
      <c r="J356" s="112">
        <f>H356+I356+J350</f>
        <v>0</v>
      </c>
    </row>
    <row r="357" spans="2:10" ht="12.75" customHeight="1">
      <c r="B357" s="37"/>
      <c r="C357" s="92"/>
      <c r="D357" s="53" t="s">
        <v>555</v>
      </c>
      <c r="E357" s="53"/>
      <c r="F357" s="53"/>
      <c r="G357" s="54"/>
      <c r="H357" s="51">
        <v>0</v>
      </c>
      <c r="I357" s="85">
        <f>-J352</f>
        <v>0</v>
      </c>
      <c r="J357" s="52">
        <f>H357-I357+J352</f>
        <v>0</v>
      </c>
    </row>
    <row r="358" spans="2:10" ht="12.75" customHeight="1">
      <c r="B358" s="26"/>
      <c r="C358" s="93"/>
      <c r="D358" s="53" t="s">
        <v>679</v>
      </c>
      <c r="E358" s="53"/>
      <c r="F358" s="53"/>
      <c r="G358" s="54"/>
      <c r="H358" s="84">
        <v>0</v>
      </c>
      <c r="I358" s="84">
        <f>H356-I356+H358-I357</f>
        <v>2348536</v>
      </c>
      <c r="J358" s="112">
        <f>H358-I358+J337</f>
        <v>-4240103.658337009</v>
      </c>
    </row>
    <row r="359" spans="2:10" ht="12.75" customHeight="1">
      <c r="B359" s="26"/>
      <c r="C359" s="93" t="s">
        <v>643</v>
      </c>
      <c r="D359" s="53"/>
      <c r="E359" s="53"/>
      <c r="F359" s="53"/>
      <c r="G359" s="54"/>
      <c r="H359" s="84"/>
      <c r="I359" s="84"/>
      <c r="J359" s="112"/>
    </row>
    <row r="360" spans="2:10" ht="12.75" customHeight="1" thickBot="1">
      <c r="B360" s="35"/>
      <c r="C360" s="113"/>
      <c r="D360" s="114"/>
      <c r="E360" s="114"/>
      <c r="F360" s="114"/>
      <c r="G360" s="115"/>
      <c r="H360" s="118"/>
      <c r="I360" s="118"/>
      <c r="J360" s="119"/>
    </row>
    <row r="361" spans="2:10" ht="12.75" customHeight="1">
      <c r="B361" s="26"/>
      <c r="C361" s="93"/>
      <c r="D361" s="53"/>
      <c r="E361" s="53"/>
      <c r="F361" s="53"/>
      <c r="G361" s="54"/>
      <c r="H361" s="84"/>
      <c r="I361" s="84"/>
      <c r="J361" s="112"/>
    </row>
    <row r="362" spans="2:10" ht="12.75" customHeight="1">
      <c r="B362" s="37" t="s">
        <v>684</v>
      </c>
      <c r="C362" s="92" t="s">
        <v>672</v>
      </c>
      <c r="D362" s="53"/>
      <c r="E362" s="53"/>
      <c r="F362" s="53"/>
      <c r="G362" s="54"/>
      <c r="H362" s="84">
        <f>2400*4000</f>
        <v>9600000</v>
      </c>
      <c r="I362" s="51">
        <v>0</v>
      </c>
      <c r="J362" s="52">
        <f>H362-I362+J353</f>
        <v>-234490334</v>
      </c>
    </row>
    <row r="363" spans="2:10" ht="12.75" customHeight="1">
      <c r="B363" s="38"/>
      <c r="C363" s="92"/>
      <c r="D363" s="53" t="s">
        <v>268</v>
      </c>
      <c r="E363" s="53"/>
      <c r="F363" s="53"/>
      <c r="G363" s="54"/>
      <c r="H363" s="84">
        <v>0</v>
      </c>
      <c r="I363" s="84">
        <f>H362</f>
        <v>9600000</v>
      </c>
      <c r="J363" s="52">
        <f>H363-I363</f>
        <v>-9600000</v>
      </c>
    </row>
    <row r="364" spans="2:10" ht="12.75" customHeight="1">
      <c r="B364" s="38"/>
      <c r="C364" s="93" t="s">
        <v>295</v>
      </c>
      <c r="D364" s="53"/>
      <c r="E364" s="53"/>
      <c r="F364" s="53"/>
      <c r="G364" s="54"/>
      <c r="H364" s="84"/>
      <c r="I364" s="84"/>
      <c r="J364" s="112"/>
    </row>
    <row r="365" spans="2:10" ht="12.75" customHeight="1">
      <c r="B365" s="38"/>
      <c r="C365" s="93"/>
      <c r="D365" s="53"/>
      <c r="E365" s="53"/>
      <c r="F365" s="53"/>
      <c r="G365" s="54"/>
      <c r="H365" s="84"/>
      <c r="I365" s="84"/>
      <c r="J365" s="112"/>
    </row>
    <row r="366" spans="2:10" ht="12.75" customHeight="1">
      <c r="B366" s="37" t="s">
        <v>684</v>
      </c>
      <c r="C366" s="94" t="s">
        <v>312</v>
      </c>
      <c r="D366" s="60"/>
      <c r="E366" s="60"/>
      <c r="F366" s="60"/>
      <c r="G366" s="82"/>
      <c r="H366" s="51" t="s">
        <v>215</v>
      </c>
      <c r="I366" s="51" t="s">
        <v>215</v>
      </c>
      <c r="J366" s="52" t="s">
        <v>215</v>
      </c>
    </row>
    <row r="367" spans="2:10" ht="12.75" customHeight="1">
      <c r="B367" s="26"/>
      <c r="C367" s="94"/>
      <c r="D367" s="31" t="s">
        <v>312</v>
      </c>
      <c r="E367" s="31"/>
      <c r="F367" s="31"/>
      <c r="G367" s="54"/>
      <c r="H367" s="51" t="s">
        <v>215</v>
      </c>
      <c r="I367" s="51" t="s">
        <v>311</v>
      </c>
      <c r="J367" s="52" t="s">
        <v>215</v>
      </c>
    </row>
    <row r="368" spans="2:10" ht="12.75" customHeight="1">
      <c r="B368" s="26"/>
      <c r="C368" s="123" t="s">
        <v>313</v>
      </c>
      <c r="D368" s="31"/>
      <c r="E368" s="31"/>
      <c r="F368" s="31"/>
      <c r="G368" s="54"/>
      <c r="H368" s="55"/>
      <c r="I368" s="55"/>
      <c r="J368" s="52"/>
    </row>
    <row r="369" spans="2:10" ht="12.75" customHeight="1">
      <c r="B369" s="38"/>
      <c r="C369" s="93"/>
      <c r="D369" s="53"/>
      <c r="E369" s="53"/>
      <c r="F369" s="53"/>
      <c r="G369" s="54"/>
      <c r="H369" s="84"/>
      <c r="I369" s="84"/>
      <c r="J369" s="112"/>
    </row>
    <row r="370" spans="2:10" ht="12.75" customHeight="1">
      <c r="B370" s="37" t="s">
        <v>684</v>
      </c>
      <c r="C370" s="92" t="s">
        <v>268</v>
      </c>
      <c r="D370" s="53"/>
      <c r="E370" s="53"/>
      <c r="F370" s="53"/>
      <c r="G370" s="54"/>
      <c r="H370" s="84">
        <f>-J363</f>
        <v>9600000</v>
      </c>
      <c r="I370" s="84">
        <v>0</v>
      </c>
      <c r="J370" s="52">
        <f>H370-I370+J363</f>
        <v>0</v>
      </c>
    </row>
    <row r="371" spans="2:10" ht="12.75" customHeight="1">
      <c r="B371" s="38"/>
      <c r="C371" s="94"/>
      <c r="D371" s="53" t="s">
        <v>269</v>
      </c>
      <c r="E371" s="53"/>
      <c r="F371" s="53"/>
      <c r="G371" s="54"/>
      <c r="H371" s="84">
        <v>0</v>
      </c>
      <c r="I371" s="84">
        <v>2295335</v>
      </c>
      <c r="J371" s="112">
        <f>H371-I371</f>
        <v>-2295335</v>
      </c>
    </row>
    <row r="372" spans="2:10" ht="12.75" customHeight="1">
      <c r="B372" s="38"/>
      <c r="C372" s="94"/>
      <c r="D372" s="53" t="s">
        <v>271</v>
      </c>
      <c r="E372" s="53"/>
      <c r="F372" s="53"/>
      <c r="G372" s="54"/>
      <c r="H372" s="84">
        <v>0</v>
      </c>
      <c r="I372" s="84">
        <v>5614331</v>
      </c>
      <c r="J372" s="112">
        <f>H372-I372+J351</f>
        <v>234316106.658337</v>
      </c>
    </row>
    <row r="373" spans="2:10" ht="12.75" customHeight="1">
      <c r="B373" s="38"/>
      <c r="C373" s="94"/>
      <c r="D373" s="53" t="s">
        <v>555</v>
      </c>
      <c r="E373" s="53"/>
      <c r="F373" s="53"/>
      <c r="G373" s="54"/>
      <c r="H373" s="84">
        <v>0</v>
      </c>
      <c r="I373" s="84">
        <v>0</v>
      </c>
      <c r="J373" s="52">
        <f>H373-I373</f>
        <v>0</v>
      </c>
    </row>
    <row r="374" spans="2:10" ht="12.75" customHeight="1">
      <c r="B374" s="38"/>
      <c r="C374" s="92"/>
      <c r="D374" s="53" t="s">
        <v>672</v>
      </c>
      <c r="E374" s="53"/>
      <c r="F374" s="53"/>
      <c r="G374" s="54"/>
      <c r="H374" s="84">
        <v>0</v>
      </c>
      <c r="I374" s="84">
        <f>(H370-I370+H371-I371+H372-I372)</f>
        <v>1690334</v>
      </c>
      <c r="J374" s="112">
        <f>H374-I374+J353</f>
        <v>-245780668</v>
      </c>
    </row>
    <row r="375" spans="2:10" ht="12.75" customHeight="1">
      <c r="B375" s="38"/>
      <c r="C375" s="93" t="s">
        <v>274</v>
      </c>
      <c r="D375" s="53"/>
      <c r="E375" s="53"/>
      <c r="F375" s="53"/>
      <c r="G375" s="54"/>
      <c r="H375" s="84"/>
      <c r="I375" s="84"/>
      <c r="J375" s="112"/>
    </row>
    <row r="376" spans="2:10" ht="12.75" customHeight="1">
      <c r="B376" s="38"/>
      <c r="C376" s="93"/>
      <c r="D376" s="53"/>
      <c r="E376" s="53"/>
      <c r="F376" s="53"/>
      <c r="G376" s="54"/>
      <c r="H376" s="84"/>
      <c r="I376" s="84"/>
      <c r="J376" s="112"/>
    </row>
    <row r="377" spans="2:10" ht="12.75" customHeight="1">
      <c r="B377" s="37" t="s">
        <v>684</v>
      </c>
      <c r="C377" s="92" t="s">
        <v>269</v>
      </c>
      <c r="D377" s="53"/>
      <c r="E377" s="53"/>
      <c r="F377" s="53"/>
      <c r="G377" s="54"/>
      <c r="H377" s="84">
        <f>-J371</f>
        <v>2295335</v>
      </c>
      <c r="I377" s="84">
        <v>0</v>
      </c>
      <c r="J377" s="112">
        <f>H377+I377+J371</f>
        <v>0</v>
      </c>
    </row>
    <row r="378" spans="2:10" ht="12.75" customHeight="1">
      <c r="B378" s="37"/>
      <c r="C378" s="92"/>
      <c r="D378" s="53" t="s">
        <v>555</v>
      </c>
      <c r="E378" s="53"/>
      <c r="F378" s="53"/>
      <c r="G378" s="54"/>
      <c r="H378" s="51">
        <v>0</v>
      </c>
      <c r="I378" s="85">
        <f>-J373</f>
        <v>0</v>
      </c>
      <c r="J378" s="52">
        <f>H378-I378+J373</f>
        <v>0</v>
      </c>
    </row>
    <row r="379" spans="2:10" ht="12.75" customHeight="1">
      <c r="B379" s="26"/>
      <c r="C379" s="93"/>
      <c r="D379" s="53" t="s">
        <v>679</v>
      </c>
      <c r="E379" s="53"/>
      <c r="F379" s="53"/>
      <c r="G379" s="54"/>
      <c r="H379" s="84">
        <v>0</v>
      </c>
      <c r="I379" s="84">
        <f>H377-I377+H379-I378</f>
        <v>2295335</v>
      </c>
      <c r="J379" s="112">
        <f>H379-I379+J358</f>
        <v>-6535438.658337009</v>
      </c>
    </row>
    <row r="380" spans="2:10" ht="12.75" customHeight="1">
      <c r="B380" s="26"/>
      <c r="C380" s="93" t="s">
        <v>643</v>
      </c>
      <c r="D380" s="53"/>
      <c r="E380" s="53"/>
      <c r="F380" s="53"/>
      <c r="G380" s="54"/>
      <c r="H380" s="84"/>
      <c r="I380" s="84"/>
      <c r="J380" s="112"/>
    </row>
    <row r="381" spans="2:9" ht="13.5" thickBot="1">
      <c r="B381" s="111"/>
      <c r="C381" s="109"/>
      <c r="D381" s="110"/>
      <c r="E381" s="110"/>
      <c r="F381" s="110"/>
      <c r="G381" s="47"/>
      <c r="H381" s="111"/>
      <c r="I381" s="111"/>
    </row>
    <row r="382" spans="2:3" ht="12.75">
      <c r="B382"/>
      <c r="C382"/>
    </row>
    <row r="383" spans="2:3" ht="15.75">
      <c r="B383" s="7" t="s">
        <v>553</v>
      </c>
      <c r="C383"/>
    </row>
    <row r="384" spans="2:3" ht="12.75">
      <c r="B384"/>
      <c r="C384"/>
    </row>
    <row r="385" spans="2:3" ht="12.75">
      <c r="B385" s="10" t="s">
        <v>655</v>
      </c>
      <c r="C385"/>
    </row>
    <row r="386" spans="2:3" ht="12.75">
      <c r="B386" s="10" t="s">
        <v>315</v>
      </c>
      <c r="C386"/>
    </row>
    <row r="387" spans="2:3" ht="12.75">
      <c r="B387" s="10" t="s">
        <v>316</v>
      </c>
      <c r="C387"/>
    </row>
    <row r="388" spans="2:3" ht="12.75">
      <c r="B388" s="10"/>
      <c r="C388"/>
    </row>
    <row r="389" spans="2:3" ht="12.75">
      <c r="B389" s="10" t="s">
        <v>561</v>
      </c>
      <c r="C389"/>
    </row>
    <row r="390" spans="2:3" ht="12.75">
      <c r="B390" s="10" t="s">
        <v>666</v>
      </c>
      <c r="C390"/>
    </row>
    <row r="391" spans="2:3" ht="12.75">
      <c r="B391" s="10" t="s">
        <v>317</v>
      </c>
      <c r="C391"/>
    </row>
    <row r="392" spans="2:3" ht="12.75">
      <c r="B392"/>
      <c r="C392"/>
    </row>
    <row r="393" spans="2:3" ht="12.75">
      <c r="B393" s="10" t="s">
        <v>667</v>
      </c>
      <c r="C393"/>
    </row>
    <row r="394" spans="2:3" ht="12.75">
      <c r="B394" s="10" t="s">
        <v>318</v>
      </c>
      <c r="C394"/>
    </row>
    <row r="395" spans="2:3" ht="12.75">
      <c r="B395" s="10"/>
      <c r="C395"/>
    </row>
    <row r="396" spans="2:3" ht="12.75">
      <c r="B396" s="10" t="s">
        <v>556</v>
      </c>
      <c r="C396"/>
    </row>
    <row r="397" spans="2:3" ht="12.75">
      <c r="B397" s="10" t="s">
        <v>557</v>
      </c>
      <c r="C397"/>
    </row>
    <row r="398" spans="2:3" ht="12.75">
      <c r="B398" s="10"/>
      <c r="C398"/>
    </row>
    <row r="399" spans="2:3" ht="12.75">
      <c r="B399" s="10" t="s">
        <v>319</v>
      </c>
      <c r="C399"/>
    </row>
    <row r="400" spans="2:3" ht="12.75">
      <c r="B400" s="10" t="s">
        <v>656</v>
      </c>
      <c r="C400"/>
    </row>
    <row r="401" spans="2:3" ht="12.75">
      <c r="B401" s="10" t="s">
        <v>657</v>
      </c>
      <c r="C401"/>
    </row>
    <row r="402" spans="2:3" ht="12.75">
      <c r="B402" s="10" t="s">
        <v>558</v>
      </c>
      <c r="C402"/>
    </row>
    <row r="403" spans="2:3" ht="12.75">
      <c r="B403"/>
      <c r="C403"/>
    </row>
    <row r="404" spans="2:3" ht="12.75">
      <c r="B404"/>
      <c r="C404"/>
    </row>
    <row r="405" spans="2:3" ht="12.75">
      <c r="B405"/>
      <c r="C405"/>
    </row>
    <row r="406" spans="2:3" ht="12.75">
      <c r="B406" s="2" t="s">
        <v>559</v>
      </c>
      <c r="C406"/>
    </row>
    <row r="407" spans="2:3" ht="12.75">
      <c r="B407"/>
      <c r="C407"/>
    </row>
    <row r="408" spans="2:3" ht="12.75">
      <c r="B408" s="95" t="s">
        <v>294</v>
      </c>
      <c r="C408"/>
    </row>
    <row r="409" spans="2:3" ht="13.5" thickBot="1">
      <c r="B409"/>
      <c r="C409"/>
    </row>
    <row r="410" spans="2:9" ht="12.75" customHeight="1" thickTop="1">
      <c r="B410" s="18" t="s">
        <v>668</v>
      </c>
      <c r="C410" s="19" t="s">
        <v>215</v>
      </c>
      <c r="D410" s="125" t="s">
        <v>575</v>
      </c>
      <c r="E410" s="19"/>
      <c r="F410" s="19"/>
      <c r="G410" s="20"/>
      <c r="H410" s="25"/>
      <c r="I410" s="39"/>
    </row>
    <row r="411" spans="2:10" ht="12.75" customHeight="1" thickBot="1">
      <c r="B411" s="28" t="s">
        <v>671</v>
      </c>
      <c r="C411" s="16"/>
      <c r="D411" s="124" t="s">
        <v>572</v>
      </c>
      <c r="E411" s="16"/>
      <c r="F411" s="16"/>
      <c r="G411" s="17"/>
      <c r="H411" s="28" t="s">
        <v>669</v>
      </c>
      <c r="I411" s="99" t="s">
        <v>670</v>
      </c>
      <c r="J411" s="11" t="s">
        <v>683</v>
      </c>
    </row>
    <row r="412" spans="2:10" ht="12.75" customHeight="1">
      <c r="B412" s="36" t="s">
        <v>680</v>
      </c>
      <c r="C412" s="91" t="s">
        <v>266</v>
      </c>
      <c r="D412" s="49"/>
      <c r="E412" s="49"/>
      <c r="F412" s="49"/>
      <c r="G412" s="50"/>
      <c r="H412" s="105">
        <v>251000000</v>
      </c>
      <c r="I412" s="105">
        <v>0</v>
      </c>
      <c r="J412" s="52">
        <f>H412-I412</f>
        <v>251000000</v>
      </c>
    </row>
    <row r="413" spans="2:10" ht="12.75" customHeight="1">
      <c r="B413" s="37"/>
      <c r="C413" s="92"/>
      <c r="D413" s="60" t="s">
        <v>672</v>
      </c>
      <c r="E413" s="60"/>
      <c r="F413" s="60"/>
      <c r="G413" s="82"/>
      <c r="H413" s="106">
        <v>0</v>
      </c>
      <c r="I413" s="106">
        <f>H412</f>
        <v>251000000</v>
      </c>
      <c r="J413" s="52">
        <f>H413-I413</f>
        <v>-251000000</v>
      </c>
    </row>
    <row r="414" spans="2:10" ht="12.75" customHeight="1">
      <c r="B414" s="37"/>
      <c r="C414" s="93" t="s">
        <v>267</v>
      </c>
      <c r="D414" s="60"/>
      <c r="E414" s="60"/>
      <c r="F414" s="60"/>
      <c r="G414" s="82"/>
      <c r="H414" s="51"/>
      <c r="I414" s="51"/>
      <c r="J414" s="52"/>
    </row>
    <row r="415" spans="2:10" ht="12.75" customHeight="1">
      <c r="B415" s="37"/>
      <c r="C415" s="93"/>
      <c r="D415" s="60"/>
      <c r="E415" s="60"/>
      <c r="F415" s="60"/>
      <c r="G415" s="82"/>
      <c r="H415" s="51"/>
      <c r="I415" s="51"/>
      <c r="J415" s="52"/>
    </row>
    <row r="416" spans="2:10" ht="12.75" customHeight="1">
      <c r="B416" s="37" t="s">
        <v>680</v>
      </c>
      <c r="C416" s="94" t="s">
        <v>310</v>
      </c>
      <c r="D416" s="60"/>
      <c r="E416" s="60"/>
      <c r="F416" s="60"/>
      <c r="G416" s="82"/>
      <c r="H416" s="51" t="s">
        <v>215</v>
      </c>
      <c r="I416" s="51" t="s">
        <v>215</v>
      </c>
      <c r="J416" s="52" t="s">
        <v>215</v>
      </c>
    </row>
    <row r="417" spans="2:10" ht="12.75" customHeight="1">
      <c r="B417" s="26"/>
      <c r="C417" s="94"/>
      <c r="D417" s="31" t="s">
        <v>310</v>
      </c>
      <c r="E417" s="31"/>
      <c r="F417" s="31"/>
      <c r="G417" s="54"/>
      <c r="H417" s="51" t="s">
        <v>215</v>
      </c>
      <c r="I417" s="51" t="s">
        <v>311</v>
      </c>
      <c r="J417" s="52" t="s">
        <v>215</v>
      </c>
    </row>
    <row r="418" spans="2:10" ht="12.75" customHeight="1">
      <c r="B418" s="26"/>
      <c r="C418" s="123" t="s">
        <v>313</v>
      </c>
      <c r="D418" s="31"/>
      <c r="E418" s="31"/>
      <c r="F418" s="31"/>
      <c r="G418" s="54"/>
      <c r="H418" s="55"/>
      <c r="I418" s="55"/>
      <c r="J418" s="52"/>
    </row>
    <row r="419" spans="2:10" ht="12.75" customHeight="1">
      <c r="B419" s="37"/>
      <c r="C419" s="92"/>
      <c r="D419" s="60"/>
      <c r="E419" s="60"/>
      <c r="F419" s="60"/>
      <c r="G419" s="82"/>
      <c r="H419" s="51"/>
      <c r="I419" s="51"/>
      <c r="J419" s="52"/>
    </row>
    <row r="420" spans="2:10" ht="12.75" customHeight="1">
      <c r="B420" s="37" t="s">
        <v>681</v>
      </c>
      <c r="C420" s="92" t="s">
        <v>672</v>
      </c>
      <c r="D420" s="53"/>
      <c r="E420" s="53"/>
      <c r="F420" s="53"/>
      <c r="G420" s="54"/>
      <c r="H420" s="84">
        <f>1850*4000</f>
        <v>7400000</v>
      </c>
      <c r="I420" s="51">
        <v>0</v>
      </c>
      <c r="J420" s="52">
        <f>H420-I420+J413</f>
        <v>-243600000</v>
      </c>
    </row>
    <row r="421" spans="2:10" ht="12.75" customHeight="1">
      <c r="B421" s="38"/>
      <c r="C421" s="92"/>
      <c r="D421" s="53" t="s">
        <v>268</v>
      </c>
      <c r="E421" s="53"/>
      <c r="F421" s="53"/>
      <c r="G421" s="54"/>
      <c r="H421" s="51">
        <v>0</v>
      </c>
      <c r="I421" s="85">
        <f>H420</f>
        <v>7400000</v>
      </c>
      <c r="J421" s="52">
        <f>H421-I421</f>
        <v>-7400000</v>
      </c>
    </row>
    <row r="422" spans="2:10" ht="12.75" customHeight="1">
      <c r="B422" s="38"/>
      <c r="C422" s="93" t="s">
        <v>295</v>
      </c>
      <c r="D422" s="53"/>
      <c r="E422" s="53"/>
      <c r="F422" s="53"/>
      <c r="G422" s="54"/>
      <c r="H422" s="55"/>
      <c r="I422" s="55"/>
      <c r="J422" s="52"/>
    </row>
    <row r="423" spans="2:10" ht="12.75" customHeight="1">
      <c r="B423" s="38"/>
      <c r="C423" s="93"/>
      <c r="D423" s="53"/>
      <c r="E423" s="53"/>
      <c r="F423" s="53"/>
      <c r="G423" s="54"/>
      <c r="H423" s="55"/>
      <c r="I423" s="55"/>
      <c r="J423" s="52"/>
    </row>
    <row r="424" spans="2:10" ht="12.75" customHeight="1">
      <c r="B424" s="37" t="s">
        <v>680</v>
      </c>
      <c r="C424" s="94" t="s">
        <v>312</v>
      </c>
      <c r="D424" s="60"/>
      <c r="E424" s="60"/>
      <c r="F424" s="60"/>
      <c r="G424" s="82"/>
      <c r="H424" s="51" t="s">
        <v>215</v>
      </c>
      <c r="I424" s="51" t="s">
        <v>215</v>
      </c>
      <c r="J424" s="52" t="s">
        <v>215</v>
      </c>
    </row>
    <row r="425" spans="2:10" ht="12.75" customHeight="1">
      <c r="B425" s="26"/>
      <c r="C425" s="94"/>
      <c r="D425" s="31" t="s">
        <v>312</v>
      </c>
      <c r="E425" s="31"/>
      <c r="F425" s="31"/>
      <c r="G425" s="54"/>
      <c r="H425" s="51" t="s">
        <v>215</v>
      </c>
      <c r="I425" s="51" t="s">
        <v>311</v>
      </c>
      <c r="J425" s="52" t="s">
        <v>215</v>
      </c>
    </row>
    <row r="426" spans="2:10" ht="12.75" customHeight="1">
      <c r="B426" s="26"/>
      <c r="C426" s="123" t="s">
        <v>313</v>
      </c>
      <c r="D426" s="31"/>
      <c r="E426" s="31"/>
      <c r="F426" s="31"/>
      <c r="G426" s="54"/>
      <c r="H426" s="55"/>
      <c r="I426" s="55"/>
      <c r="J426" s="52"/>
    </row>
    <row r="427" spans="2:10" ht="12.75" customHeight="1">
      <c r="B427" s="38"/>
      <c r="C427" s="93"/>
      <c r="D427" s="53"/>
      <c r="E427" s="53"/>
      <c r="F427" s="53"/>
      <c r="G427" s="54"/>
      <c r="H427" s="55"/>
      <c r="I427" s="55"/>
      <c r="J427" s="52"/>
    </row>
    <row r="428" spans="2:10" ht="12.75" customHeight="1">
      <c r="B428" s="37" t="s">
        <v>681</v>
      </c>
      <c r="C428" s="92" t="s">
        <v>268</v>
      </c>
      <c r="D428" s="53"/>
      <c r="E428" s="53"/>
      <c r="F428" s="53"/>
      <c r="G428" s="54"/>
      <c r="H428" s="84">
        <f>-J421</f>
        <v>7400000</v>
      </c>
      <c r="I428" s="84">
        <v>0</v>
      </c>
      <c r="J428" s="52">
        <f>H428-I428+J421</f>
        <v>0</v>
      </c>
    </row>
    <row r="429" spans="2:10" ht="12.75" customHeight="1">
      <c r="B429" s="38"/>
      <c r="C429" s="94"/>
      <c r="D429" s="53" t="s">
        <v>269</v>
      </c>
      <c r="E429" s="53"/>
      <c r="F429" s="53"/>
      <c r="G429" s="54"/>
      <c r="H429" s="84">
        <v>0</v>
      </c>
      <c r="I429" s="84">
        <v>2401233.333333333</v>
      </c>
      <c r="J429" s="52">
        <f>H429-I429</f>
        <v>-2401233.333333333</v>
      </c>
    </row>
    <row r="430" spans="2:10" ht="12.75" customHeight="1">
      <c r="B430" s="38"/>
      <c r="C430" s="94"/>
      <c r="D430" s="53" t="s">
        <v>271</v>
      </c>
      <c r="E430" s="53"/>
      <c r="F430" s="53"/>
      <c r="G430" s="54"/>
      <c r="H430" s="84">
        <v>0</v>
      </c>
      <c r="I430" s="84">
        <v>5508432.341662991</v>
      </c>
      <c r="J430" s="52">
        <f>H430-I430+J412</f>
        <v>245491567.658337</v>
      </c>
    </row>
    <row r="431" spans="2:10" ht="12.75" customHeight="1">
      <c r="B431" s="38"/>
      <c r="C431" s="94"/>
      <c r="D431" s="53" t="s">
        <v>555</v>
      </c>
      <c r="E431" s="53"/>
      <c r="F431" s="53"/>
      <c r="G431" s="54"/>
      <c r="H431" s="84">
        <f>-(H428-I428+H429-I429+H430-I430)</f>
        <v>509665.6749963239</v>
      </c>
      <c r="I431" s="84">
        <v>0</v>
      </c>
      <c r="J431" s="52">
        <f>H431-I431</f>
        <v>509665.6749963239</v>
      </c>
    </row>
    <row r="432" spans="2:10" ht="12.75" customHeight="1">
      <c r="B432" s="38"/>
      <c r="C432" s="92"/>
      <c r="D432" s="53" t="s">
        <v>672</v>
      </c>
      <c r="E432" s="53"/>
      <c r="F432" s="53"/>
      <c r="G432" s="54"/>
      <c r="H432" s="84">
        <v>0</v>
      </c>
      <c r="I432" s="84">
        <v>0</v>
      </c>
      <c r="J432" s="52">
        <f>H432-I432+J420</f>
        <v>-243600000</v>
      </c>
    </row>
    <row r="433" spans="2:10" ht="12.75" customHeight="1">
      <c r="B433" s="38"/>
      <c r="C433" s="93" t="s">
        <v>274</v>
      </c>
      <c r="D433" s="53"/>
      <c r="E433" s="53"/>
      <c r="F433" s="53"/>
      <c r="G433" s="54"/>
      <c r="H433" s="84"/>
      <c r="I433" s="84"/>
      <c r="J433" s="52"/>
    </row>
    <row r="434" spans="2:10" ht="12.75" customHeight="1">
      <c r="B434" s="38"/>
      <c r="C434" s="93"/>
      <c r="D434" s="53"/>
      <c r="E434" s="53"/>
      <c r="F434" s="53"/>
      <c r="G434" s="54"/>
      <c r="H434" s="84" t="s">
        <v>215</v>
      </c>
      <c r="I434" s="84"/>
      <c r="J434" s="52"/>
    </row>
    <row r="435" spans="2:10" ht="12.75" customHeight="1">
      <c r="B435" s="37" t="s">
        <v>681</v>
      </c>
      <c r="C435" s="92" t="s">
        <v>269</v>
      </c>
      <c r="D435" s="53"/>
      <c r="E435" s="53"/>
      <c r="F435" s="53"/>
      <c r="G435" s="54"/>
      <c r="H435" s="84">
        <f>-J429</f>
        <v>2401233.333333333</v>
      </c>
      <c r="I435" s="51">
        <v>0</v>
      </c>
      <c r="J435" s="52">
        <f>H435-I435+J429</f>
        <v>0</v>
      </c>
    </row>
    <row r="436" spans="2:10" ht="12.75" customHeight="1">
      <c r="B436" s="37"/>
      <c r="C436" s="92"/>
      <c r="D436" s="53" t="s">
        <v>555</v>
      </c>
      <c r="E436" s="53"/>
      <c r="F436" s="53"/>
      <c r="G436" s="54"/>
      <c r="H436" s="51">
        <v>0</v>
      </c>
      <c r="I436" s="85">
        <f>J431</f>
        <v>509665.6749963239</v>
      </c>
      <c r="J436" s="52">
        <f>H436-I436+J431</f>
        <v>0</v>
      </c>
    </row>
    <row r="437" spans="2:10" ht="12.75" customHeight="1">
      <c r="B437" s="26"/>
      <c r="C437" s="93"/>
      <c r="D437" s="53" t="s">
        <v>679</v>
      </c>
      <c r="E437" s="53"/>
      <c r="F437" s="53"/>
      <c r="G437" s="54"/>
      <c r="H437" s="51">
        <v>0</v>
      </c>
      <c r="I437" s="84">
        <f>H435-I435+H437-I436</f>
        <v>1891567.6583370091</v>
      </c>
      <c r="J437" s="52">
        <f>H437-I437</f>
        <v>-1891567.6583370091</v>
      </c>
    </row>
    <row r="438" spans="2:10" ht="12.75" customHeight="1">
      <c r="B438" s="26"/>
      <c r="C438" s="93" t="s">
        <v>643</v>
      </c>
      <c r="D438" s="53"/>
      <c r="E438" s="53"/>
      <c r="F438" s="53"/>
      <c r="G438" s="54"/>
      <c r="H438" s="55"/>
      <c r="I438" s="55"/>
      <c r="J438" s="52"/>
    </row>
    <row r="439" spans="2:10" ht="12.75" customHeight="1" thickBot="1">
      <c r="B439" s="35"/>
      <c r="C439" s="113"/>
      <c r="D439" s="114"/>
      <c r="E439" s="114"/>
      <c r="F439" s="114"/>
      <c r="G439" s="115"/>
      <c r="H439" s="116"/>
      <c r="I439" s="116"/>
      <c r="J439" s="117"/>
    </row>
    <row r="440" spans="2:10" ht="12.75" customHeight="1">
      <c r="B440" s="26"/>
      <c r="C440" s="93"/>
      <c r="D440" s="53"/>
      <c r="E440" s="53"/>
      <c r="F440" s="53"/>
      <c r="G440" s="54"/>
      <c r="H440" s="55"/>
      <c r="I440" s="55"/>
      <c r="J440" s="52"/>
    </row>
    <row r="441" spans="2:10" ht="12.75" customHeight="1">
      <c r="B441" s="37" t="s">
        <v>682</v>
      </c>
      <c r="C441" s="92" t="s">
        <v>672</v>
      </c>
      <c r="D441" s="53"/>
      <c r="E441" s="53"/>
      <c r="F441" s="53"/>
      <c r="G441" s="54"/>
      <c r="H441" s="84">
        <f>2100*4000</f>
        <v>8400000</v>
      </c>
      <c r="I441" s="51">
        <v>0</v>
      </c>
      <c r="J441" s="52">
        <f>H441-I441+J432</f>
        <v>-235200000</v>
      </c>
    </row>
    <row r="442" spans="2:10" ht="12.75" customHeight="1">
      <c r="B442" s="38"/>
      <c r="C442" s="92"/>
      <c r="D442" s="53" t="s">
        <v>268</v>
      </c>
      <c r="E442" s="53"/>
      <c r="F442" s="53"/>
      <c r="G442" s="54"/>
      <c r="H442" s="84">
        <v>0</v>
      </c>
      <c r="I442" s="84">
        <f>H441</f>
        <v>8400000</v>
      </c>
      <c r="J442" s="52">
        <f>H442-I442</f>
        <v>-8400000</v>
      </c>
    </row>
    <row r="443" spans="2:10" ht="12.75" customHeight="1">
      <c r="B443" s="38"/>
      <c r="C443" s="93" t="s">
        <v>295</v>
      </c>
      <c r="D443" s="53"/>
      <c r="E443" s="53"/>
      <c r="F443" s="53"/>
      <c r="G443" s="54"/>
      <c r="H443" s="84"/>
      <c r="I443" s="84"/>
      <c r="J443" s="112"/>
    </row>
    <row r="444" spans="2:10" ht="12.75" customHeight="1">
      <c r="B444" s="38"/>
      <c r="C444" s="93"/>
      <c r="D444" s="53"/>
      <c r="E444" s="53"/>
      <c r="F444" s="53"/>
      <c r="G444" s="54"/>
      <c r="H444" s="84"/>
      <c r="I444" s="84"/>
      <c r="J444" s="112"/>
    </row>
    <row r="445" spans="2:10" ht="12.75" customHeight="1">
      <c r="B445" s="37" t="s">
        <v>682</v>
      </c>
      <c r="C445" s="94" t="s">
        <v>312</v>
      </c>
      <c r="D445" s="60"/>
      <c r="E445" s="60"/>
      <c r="F445" s="60"/>
      <c r="G445" s="82"/>
      <c r="H445" s="51" t="s">
        <v>215</v>
      </c>
      <c r="I445" s="51" t="s">
        <v>215</v>
      </c>
      <c r="J445" s="52" t="s">
        <v>215</v>
      </c>
    </row>
    <row r="446" spans="2:10" ht="12.75" customHeight="1">
      <c r="B446" s="26"/>
      <c r="C446" s="94"/>
      <c r="D446" s="31" t="s">
        <v>312</v>
      </c>
      <c r="E446" s="31"/>
      <c r="F446" s="31"/>
      <c r="G446" s="54"/>
      <c r="H446" s="51" t="s">
        <v>215</v>
      </c>
      <c r="I446" s="51" t="s">
        <v>311</v>
      </c>
      <c r="J446" s="52" t="s">
        <v>215</v>
      </c>
    </row>
    <row r="447" spans="2:10" ht="12.75" customHeight="1">
      <c r="B447" s="26"/>
      <c r="C447" s="123" t="s">
        <v>313</v>
      </c>
      <c r="D447" s="31"/>
      <c r="E447" s="31"/>
      <c r="F447" s="31"/>
      <c r="G447" s="54"/>
      <c r="H447" s="55"/>
      <c r="I447" s="55"/>
      <c r="J447" s="52"/>
    </row>
    <row r="448" spans="2:10" ht="12.75" customHeight="1">
      <c r="B448" s="38"/>
      <c r="C448" s="93"/>
      <c r="D448" s="53"/>
      <c r="E448" s="53"/>
      <c r="F448" s="53"/>
      <c r="G448" s="54"/>
      <c r="H448" s="84"/>
      <c r="I448" s="84"/>
      <c r="J448" s="112"/>
    </row>
    <row r="449" spans="2:10" ht="12.75" customHeight="1">
      <c r="B449" s="37" t="s">
        <v>682</v>
      </c>
      <c r="C449" s="92" t="s">
        <v>268</v>
      </c>
      <c r="D449" s="53"/>
      <c r="E449" s="53"/>
      <c r="F449" s="53"/>
      <c r="G449" s="54"/>
      <c r="H449" s="84">
        <f>-J442</f>
        <v>8400000</v>
      </c>
      <c r="I449" s="84">
        <v>0</v>
      </c>
      <c r="J449" s="52">
        <f>H449-I449+J442</f>
        <v>0</v>
      </c>
    </row>
    <row r="450" spans="2:10" ht="12.75" customHeight="1">
      <c r="B450" s="38"/>
      <c r="C450" s="94"/>
      <c r="D450" s="53" t="s">
        <v>269</v>
      </c>
      <c r="E450" s="53"/>
      <c r="F450" s="53"/>
      <c r="G450" s="54"/>
      <c r="H450" s="84">
        <v>0</v>
      </c>
      <c r="I450" s="84">
        <v>2348536</v>
      </c>
      <c r="J450" s="112">
        <f>H450-I450</f>
        <v>-2348536</v>
      </c>
    </row>
    <row r="451" spans="2:10" ht="12.75" customHeight="1">
      <c r="B451" s="38"/>
      <c r="C451" s="94"/>
      <c r="D451" s="53" t="s">
        <v>271</v>
      </c>
      <c r="E451" s="53"/>
      <c r="F451" s="53"/>
      <c r="G451" s="54"/>
      <c r="H451" s="84">
        <v>0</v>
      </c>
      <c r="I451" s="84">
        <v>5561130</v>
      </c>
      <c r="J451" s="112">
        <f>H451-I451+J430</f>
        <v>239930437.658337</v>
      </c>
    </row>
    <row r="452" spans="2:10" ht="12.75" customHeight="1">
      <c r="B452" s="38"/>
      <c r="C452" s="92"/>
      <c r="D452" s="53" t="s">
        <v>555</v>
      </c>
      <c r="E452" s="53"/>
      <c r="F452" s="53"/>
      <c r="G452" s="54"/>
      <c r="H452" s="84">
        <v>0</v>
      </c>
      <c r="I452" s="84">
        <f>(H449-I449+H450-I450+H451-I451)</f>
        <v>490334</v>
      </c>
      <c r="J452" s="112">
        <f>H452-I452</f>
        <v>-490334</v>
      </c>
    </row>
    <row r="453" spans="2:10" ht="12.75" customHeight="1">
      <c r="B453" s="38"/>
      <c r="C453" s="92"/>
      <c r="D453" s="53" t="s">
        <v>672</v>
      </c>
      <c r="E453" s="53"/>
      <c r="F453" s="53"/>
      <c r="G453" s="54"/>
      <c r="H453" s="84">
        <v>0</v>
      </c>
      <c r="I453" s="84">
        <v>0</v>
      </c>
      <c r="J453" s="112">
        <f>H453-I453+J441</f>
        <v>-235200000</v>
      </c>
    </row>
    <row r="454" spans="2:10" ht="12.75" customHeight="1">
      <c r="B454" s="38"/>
      <c r="C454" s="93" t="s">
        <v>274</v>
      </c>
      <c r="D454" s="53"/>
      <c r="E454" s="53"/>
      <c r="F454" s="53"/>
      <c r="G454" s="54"/>
      <c r="H454" s="84"/>
      <c r="I454" s="84"/>
      <c r="J454" s="112"/>
    </row>
    <row r="455" spans="2:10" ht="12.75" customHeight="1">
      <c r="B455" s="38"/>
      <c r="C455" s="93"/>
      <c r="D455" s="53"/>
      <c r="E455" s="53"/>
      <c r="F455" s="53"/>
      <c r="G455" s="54"/>
      <c r="H455" s="84"/>
      <c r="I455" s="84"/>
      <c r="J455" s="112"/>
    </row>
    <row r="456" spans="2:10" ht="12.75" customHeight="1">
      <c r="B456" s="37" t="s">
        <v>682</v>
      </c>
      <c r="C456" s="92" t="s">
        <v>269</v>
      </c>
      <c r="D456" s="53"/>
      <c r="E456" s="53"/>
      <c r="F456" s="53"/>
      <c r="G456" s="54"/>
      <c r="H456" s="84">
        <f>-J450</f>
        <v>2348536</v>
      </c>
      <c r="I456" s="84">
        <v>0</v>
      </c>
      <c r="J456" s="112">
        <f>H456+I456+J450</f>
        <v>0</v>
      </c>
    </row>
    <row r="457" spans="2:10" ht="12.75" customHeight="1">
      <c r="B457" s="37"/>
      <c r="C457" s="92"/>
      <c r="D457" s="53" t="s">
        <v>555</v>
      </c>
      <c r="E457" s="53"/>
      <c r="F457" s="53"/>
      <c r="G457" s="54"/>
      <c r="H457" s="85">
        <f>-J452</f>
        <v>490334</v>
      </c>
      <c r="I457" s="57">
        <v>0</v>
      </c>
      <c r="J457" s="52">
        <f>H457-I457+J452</f>
        <v>0</v>
      </c>
    </row>
    <row r="458" spans="2:10" ht="12.75" customHeight="1">
      <c r="B458" s="26"/>
      <c r="C458" s="93"/>
      <c r="D458" s="53" t="s">
        <v>679</v>
      </c>
      <c r="E458" s="53"/>
      <c r="F458" s="53"/>
      <c r="G458" s="54"/>
      <c r="H458" s="84">
        <v>0</v>
      </c>
      <c r="I458" s="84">
        <f>H456-I456+H457-I457</f>
        <v>2838870</v>
      </c>
      <c r="J458" s="112">
        <f>H458-I458+J437</f>
        <v>-4730437.658337009</v>
      </c>
    </row>
    <row r="459" spans="2:10" ht="12.75" customHeight="1">
      <c r="B459" s="26"/>
      <c r="C459" s="93" t="s">
        <v>643</v>
      </c>
      <c r="D459" s="53"/>
      <c r="E459" s="53"/>
      <c r="F459" s="53"/>
      <c r="G459" s="54"/>
      <c r="H459" s="84"/>
      <c r="I459" s="84"/>
      <c r="J459" s="112"/>
    </row>
    <row r="460" spans="2:10" ht="12.75" customHeight="1" thickBot="1">
      <c r="B460" s="35"/>
      <c r="C460" s="113"/>
      <c r="D460" s="114"/>
      <c r="E460" s="114"/>
      <c r="F460" s="114"/>
      <c r="G460" s="115"/>
      <c r="H460" s="118"/>
      <c r="I460" s="118"/>
      <c r="J460" s="119"/>
    </row>
    <row r="461" spans="2:10" ht="12.75" customHeight="1">
      <c r="B461" s="26"/>
      <c r="C461" s="93"/>
      <c r="D461" s="53"/>
      <c r="E461" s="53"/>
      <c r="F461" s="53"/>
      <c r="G461" s="54"/>
      <c r="H461" s="84"/>
      <c r="I461" s="84"/>
      <c r="J461" s="112"/>
    </row>
    <row r="462" spans="2:10" ht="12.75" customHeight="1">
      <c r="B462" s="37" t="s">
        <v>684</v>
      </c>
      <c r="C462" s="92" t="s">
        <v>672</v>
      </c>
      <c r="D462" s="53"/>
      <c r="E462" s="53"/>
      <c r="F462" s="53"/>
      <c r="G462" s="54"/>
      <c r="H462" s="84">
        <f>2400*4000</f>
        <v>9600000</v>
      </c>
      <c r="I462" s="51">
        <v>0</v>
      </c>
      <c r="J462" s="52">
        <f>H462-I462+J453</f>
        <v>-225600000</v>
      </c>
    </row>
    <row r="463" spans="2:10" ht="12.75" customHeight="1">
      <c r="B463" s="38"/>
      <c r="C463" s="92"/>
      <c r="D463" s="53" t="s">
        <v>268</v>
      </c>
      <c r="E463" s="53"/>
      <c r="F463" s="53"/>
      <c r="G463" s="54"/>
      <c r="H463" s="84">
        <v>0</v>
      </c>
      <c r="I463" s="84">
        <f>H462</f>
        <v>9600000</v>
      </c>
      <c r="J463" s="52">
        <f>H463-I463</f>
        <v>-9600000</v>
      </c>
    </row>
    <row r="464" spans="2:10" ht="12.75" customHeight="1">
      <c r="B464" s="38"/>
      <c r="C464" s="93" t="s">
        <v>295</v>
      </c>
      <c r="D464" s="53"/>
      <c r="E464" s="53"/>
      <c r="F464" s="53"/>
      <c r="G464" s="54"/>
      <c r="H464" s="84"/>
      <c r="I464" s="84"/>
      <c r="J464" s="112"/>
    </row>
    <row r="465" spans="2:10" ht="12.75" customHeight="1">
      <c r="B465" s="38"/>
      <c r="C465" s="93"/>
      <c r="D465" s="53"/>
      <c r="E465" s="53"/>
      <c r="F465" s="53"/>
      <c r="G465" s="54"/>
      <c r="H465" s="84"/>
      <c r="I465" s="84"/>
      <c r="J465" s="112"/>
    </row>
    <row r="466" spans="2:10" ht="12.75" customHeight="1">
      <c r="B466" s="37" t="s">
        <v>684</v>
      </c>
      <c r="C466" s="94" t="s">
        <v>312</v>
      </c>
      <c r="D466" s="60"/>
      <c r="E466" s="60"/>
      <c r="F466" s="60"/>
      <c r="G466" s="82"/>
      <c r="H466" s="51" t="s">
        <v>215</v>
      </c>
      <c r="I466" s="51" t="s">
        <v>215</v>
      </c>
      <c r="J466" s="52" t="s">
        <v>215</v>
      </c>
    </row>
    <row r="467" spans="2:10" ht="12.75" customHeight="1">
      <c r="B467" s="26"/>
      <c r="C467" s="94"/>
      <c r="D467" s="31" t="s">
        <v>312</v>
      </c>
      <c r="E467" s="31"/>
      <c r="F467" s="31"/>
      <c r="G467" s="54"/>
      <c r="H467" s="51" t="s">
        <v>215</v>
      </c>
      <c r="I467" s="51" t="s">
        <v>311</v>
      </c>
      <c r="J467" s="52" t="s">
        <v>215</v>
      </c>
    </row>
    <row r="468" spans="2:10" ht="12.75" customHeight="1">
      <c r="B468" s="26"/>
      <c r="C468" s="123" t="s">
        <v>313</v>
      </c>
      <c r="D468" s="31"/>
      <c r="E468" s="31"/>
      <c r="F468" s="31"/>
      <c r="G468" s="54"/>
      <c r="H468" s="55"/>
      <c r="I468" s="55"/>
      <c r="J468" s="52"/>
    </row>
    <row r="469" spans="2:10" ht="12.75" customHeight="1">
      <c r="B469" s="38"/>
      <c r="C469" s="93"/>
      <c r="D469" s="53"/>
      <c r="E469" s="53"/>
      <c r="F469" s="53"/>
      <c r="G469" s="54"/>
      <c r="H469" s="84"/>
      <c r="I469" s="84"/>
      <c r="J469" s="112"/>
    </row>
    <row r="470" spans="2:10" ht="12.75" customHeight="1">
      <c r="B470" s="37" t="s">
        <v>684</v>
      </c>
      <c r="C470" s="92" t="s">
        <v>268</v>
      </c>
      <c r="D470" s="53"/>
      <c r="E470" s="53"/>
      <c r="F470" s="53"/>
      <c r="G470" s="54"/>
      <c r="H470" s="84">
        <f>-J463</f>
        <v>9600000</v>
      </c>
      <c r="I470" s="84">
        <v>0</v>
      </c>
      <c r="J470" s="52">
        <f>H470-I470+J463</f>
        <v>0</v>
      </c>
    </row>
    <row r="471" spans="2:10" ht="12.75" customHeight="1">
      <c r="B471" s="38"/>
      <c r="C471" s="94"/>
      <c r="D471" s="53" t="s">
        <v>269</v>
      </c>
      <c r="E471" s="53"/>
      <c r="F471" s="53"/>
      <c r="G471" s="54"/>
      <c r="H471" s="84">
        <v>0</v>
      </c>
      <c r="I471" s="84">
        <v>2295335</v>
      </c>
      <c r="J471" s="112">
        <f>H471-I471</f>
        <v>-2295335</v>
      </c>
    </row>
    <row r="472" spans="2:10" ht="12.75" customHeight="1">
      <c r="B472" s="38"/>
      <c r="C472" s="94"/>
      <c r="D472" s="53" t="s">
        <v>271</v>
      </c>
      <c r="E472" s="53"/>
      <c r="F472" s="53"/>
      <c r="G472" s="54"/>
      <c r="H472" s="84">
        <v>0</v>
      </c>
      <c r="I472" s="84">
        <v>5614331</v>
      </c>
      <c r="J472" s="112">
        <f>H472-I472+J451</f>
        <v>234316106.658337</v>
      </c>
    </row>
    <row r="473" spans="2:10" ht="12.75" customHeight="1">
      <c r="B473" s="38"/>
      <c r="C473" s="94"/>
      <c r="D473" s="53" t="s">
        <v>555</v>
      </c>
      <c r="E473" s="53"/>
      <c r="F473" s="53"/>
      <c r="G473" s="54"/>
      <c r="H473" s="84">
        <v>0</v>
      </c>
      <c r="I473" s="84">
        <f>(H470-I470+H471-I471+H472-I472)</f>
        <v>1690334</v>
      </c>
      <c r="J473" s="52">
        <f>H473-I473</f>
        <v>-1690334</v>
      </c>
    </row>
    <row r="474" spans="2:10" ht="12.75" customHeight="1">
      <c r="B474" s="38"/>
      <c r="C474" s="92"/>
      <c r="D474" s="53" t="s">
        <v>672</v>
      </c>
      <c r="E474" s="53"/>
      <c r="F474" s="53"/>
      <c r="G474" s="54"/>
      <c r="H474" s="84">
        <v>0</v>
      </c>
      <c r="I474" s="57">
        <v>0</v>
      </c>
      <c r="J474" s="112">
        <f>H474-I473+J453</f>
        <v>-236890334</v>
      </c>
    </row>
    <row r="475" spans="2:10" ht="12.75" customHeight="1">
      <c r="B475" s="38"/>
      <c r="C475" s="93" t="s">
        <v>274</v>
      </c>
      <c r="D475" s="53"/>
      <c r="E475" s="53"/>
      <c r="F475" s="53"/>
      <c r="G475" s="54"/>
      <c r="H475" s="84"/>
      <c r="I475" s="84"/>
      <c r="J475" s="112"/>
    </row>
    <row r="476" spans="2:10" ht="12.75" customHeight="1">
      <c r="B476" s="38"/>
      <c r="C476" s="93"/>
      <c r="D476" s="53"/>
      <c r="E476" s="53"/>
      <c r="F476" s="53"/>
      <c r="G476" s="54"/>
      <c r="H476" s="84"/>
      <c r="I476" s="84"/>
      <c r="J476" s="112"/>
    </row>
    <row r="477" spans="2:10" ht="12.75" customHeight="1">
      <c r="B477" s="37" t="s">
        <v>684</v>
      </c>
      <c r="C477" s="92" t="s">
        <v>269</v>
      </c>
      <c r="D477" s="53"/>
      <c r="E477" s="53"/>
      <c r="F477" s="53"/>
      <c r="G477" s="54"/>
      <c r="H477" s="84">
        <f>-J471</f>
        <v>2295335</v>
      </c>
      <c r="I477" s="84">
        <v>0</v>
      </c>
      <c r="J477" s="112">
        <f>H477+I477+J471</f>
        <v>0</v>
      </c>
    </row>
    <row r="478" spans="2:10" ht="12.75" customHeight="1">
      <c r="B478" s="37"/>
      <c r="C478" s="92"/>
      <c r="D478" s="53" t="s">
        <v>555</v>
      </c>
      <c r="E478" s="53"/>
      <c r="F478" s="53"/>
      <c r="G478" s="54"/>
      <c r="H478" s="85">
        <f>-J473</f>
        <v>1690334</v>
      </c>
      <c r="I478" s="57">
        <v>0</v>
      </c>
      <c r="J478" s="52">
        <f>H478-I478+J473</f>
        <v>0</v>
      </c>
    </row>
    <row r="479" spans="2:10" ht="12.75" customHeight="1">
      <c r="B479" s="26"/>
      <c r="C479" s="93"/>
      <c r="D479" s="53" t="s">
        <v>679</v>
      </c>
      <c r="E479" s="53"/>
      <c r="F479" s="53"/>
      <c r="G479" s="54"/>
      <c r="H479" s="84">
        <v>0</v>
      </c>
      <c r="I479" s="84">
        <f>H477-I477+H478-I478</f>
        <v>3985669</v>
      </c>
      <c r="J479" s="112">
        <f>H479-I479+J458</f>
        <v>-8716106.658337008</v>
      </c>
    </row>
    <row r="480" spans="2:10" ht="12.75" customHeight="1">
      <c r="B480" s="26"/>
      <c r="C480" s="93" t="s">
        <v>643</v>
      </c>
      <c r="D480" s="53"/>
      <c r="E480" s="53"/>
      <c r="F480" s="53"/>
      <c r="G480" s="54"/>
      <c r="H480" s="84"/>
      <c r="I480" s="84"/>
      <c r="J480" s="112"/>
    </row>
    <row r="481" spans="2:9" ht="13.5" thickBot="1">
      <c r="B481" s="111"/>
      <c r="C481" s="109"/>
      <c r="D481" s="110"/>
      <c r="E481" s="110"/>
      <c r="F481" s="110"/>
      <c r="G481" s="47"/>
      <c r="H481" s="111"/>
      <c r="I481" s="111"/>
    </row>
    <row r="482" spans="2:3" ht="12.75">
      <c r="B482"/>
      <c r="C482"/>
    </row>
    <row r="483" spans="2:3" ht="15.75">
      <c r="B483" s="7" t="s">
        <v>553</v>
      </c>
      <c r="C483"/>
    </row>
    <row r="484" spans="2:3" ht="12.75">
      <c r="B484"/>
      <c r="C484"/>
    </row>
    <row r="485" spans="2:3" ht="12.75">
      <c r="B485" s="10" t="s">
        <v>655</v>
      </c>
      <c r="C485"/>
    </row>
    <row r="486" spans="2:3" ht="12.75">
      <c r="B486" s="10" t="s">
        <v>315</v>
      </c>
      <c r="C486"/>
    </row>
    <row r="487" spans="2:3" ht="12.75">
      <c r="B487" s="10" t="s">
        <v>316</v>
      </c>
      <c r="C487"/>
    </row>
    <row r="488" spans="2:3" ht="12.75">
      <c r="B488" s="10"/>
      <c r="C488"/>
    </row>
    <row r="489" spans="2:3" ht="12.75">
      <c r="B489" s="10" t="s">
        <v>562</v>
      </c>
      <c r="C489"/>
    </row>
    <row r="490" spans="2:3" ht="12.75">
      <c r="B490" s="10" t="s">
        <v>563</v>
      </c>
      <c r="C490"/>
    </row>
    <row r="491" spans="2:3" ht="12.75">
      <c r="B491" s="10"/>
      <c r="C491"/>
    </row>
    <row r="492" spans="2:3" ht="12.75">
      <c r="B492" s="10" t="s">
        <v>314</v>
      </c>
      <c r="C492"/>
    </row>
    <row r="493" spans="2:3" ht="12.75">
      <c r="B493" s="10" t="s">
        <v>318</v>
      </c>
      <c r="C493"/>
    </row>
    <row r="494" spans="2:3" ht="12.75">
      <c r="B494" s="10"/>
      <c r="C494"/>
    </row>
    <row r="495" spans="2:3" ht="12.75">
      <c r="B495" s="10" t="s">
        <v>564</v>
      </c>
      <c r="C495"/>
    </row>
    <row r="496" spans="2:3" ht="12.75">
      <c r="B496" s="10" t="s">
        <v>565</v>
      </c>
      <c r="C496"/>
    </row>
    <row r="497" spans="2:3" ht="12.75">
      <c r="B497" s="10"/>
      <c r="C497"/>
    </row>
    <row r="498" spans="2:3" ht="12.75">
      <c r="B498" s="10" t="s">
        <v>319</v>
      </c>
      <c r="C498"/>
    </row>
    <row r="499" spans="2:3" ht="12.75">
      <c r="B499" s="10" t="s">
        <v>658</v>
      </c>
      <c r="C499"/>
    </row>
    <row r="500" spans="2:3" ht="12.75">
      <c r="B500" s="10" t="s">
        <v>566</v>
      </c>
      <c r="C500"/>
    </row>
    <row r="501" spans="2:3" ht="12.75">
      <c r="B501" s="10" t="s">
        <v>567</v>
      </c>
      <c r="C501"/>
    </row>
    <row r="502" spans="2:3" ht="12.75">
      <c r="B502" s="10" t="s">
        <v>568</v>
      </c>
      <c r="C502"/>
    </row>
    <row r="503" spans="2:3" ht="12.75">
      <c r="B503"/>
      <c r="C503"/>
    </row>
    <row r="504" spans="2:3" ht="12.75">
      <c r="B504" s="10" t="s">
        <v>569</v>
      </c>
      <c r="C504"/>
    </row>
    <row r="505" spans="2:3" ht="12.75">
      <c r="B505" s="10" t="s">
        <v>570</v>
      </c>
      <c r="C505"/>
    </row>
    <row r="506" spans="2:3" ht="12.75">
      <c r="B506" s="10" t="s">
        <v>659</v>
      </c>
      <c r="C506"/>
    </row>
    <row r="507" spans="2:3" ht="12.75">
      <c r="B507" s="10"/>
      <c r="C507"/>
    </row>
    <row r="508" spans="1:3" ht="12.75">
      <c r="A508" s="168" t="s">
        <v>480</v>
      </c>
      <c r="B508" s="168" t="s">
        <v>480</v>
      </c>
      <c r="C508" s="168" t="s">
        <v>481</v>
      </c>
    </row>
    <row r="509" spans="1:3" ht="12.75">
      <c r="A509" s="168" t="s">
        <v>482</v>
      </c>
      <c r="B509" s="168" t="s">
        <v>483</v>
      </c>
      <c r="C509" s="168" t="s">
        <v>484</v>
      </c>
    </row>
    <row r="510" spans="1:8" ht="12.75">
      <c r="A510" t="s">
        <v>485</v>
      </c>
      <c r="B510" s="168">
        <v>15</v>
      </c>
      <c r="C510" s="168">
        <v>13</v>
      </c>
      <c r="D510" s="2" t="s">
        <v>633</v>
      </c>
      <c r="E510" s="2"/>
      <c r="F510" s="2"/>
      <c r="G510" s="2"/>
      <c r="H510" s="2"/>
    </row>
    <row r="511" ht="12.75">
      <c r="D511" t="s">
        <v>634</v>
      </c>
    </row>
    <row r="512" ht="12.75">
      <c r="D512" t="s">
        <v>635</v>
      </c>
    </row>
    <row r="513" ht="12.75">
      <c r="D513" t="s">
        <v>636</v>
      </c>
    </row>
    <row r="514" ht="12.75">
      <c r="D514" t="s">
        <v>637</v>
      </c>
    </row>
    <row r="515" ht="12.75">
      <c r="D515" t="s">
        <v>638</v>
      </c>
    </row>
    <row r="516" spans="2:3" ht="12.75">
      <c r="B516"/>
      <c r="C516"/>
    </row>
    <row r="517" ht="12.75">
      <c r="D517" t="s">
        <v>444</v>
      </c>
    </row>
    <row r="518" ht="12.75">
      <c r="D518" t="s">
        <v>445</v>
      </c>
    </row>
    <row r="519" ht="12.75">
      <c r="D519" t="s">
        <v>446</v>
      </c>
    </row>
    <row r="520" spans="2:3" ht="12.75">
      <c r="B520"/>
      <c r="C520"/>
    </row>
    <row r="521" spans="2:3" ht="12.75">
      <c r="B521"/>
      <c r="C521"/>
    </row>
    <row r="522" spans="2:3" ht="12.75">
      <c r="B522"/>
      <c r="C522"/>
    </row>
    <row r="525" spans="2:3" ht="12.75">
      <c r="B525"/>
      <c r="C525"/>
    </row>
    <row r="526" spans="2:3" ht="12.75">
      <c r="B526"/>
      <c r="C526"/>
    </row>
    <row r="527" spans="2:3" ht="12.75">
      <c r="B527"/>
      <c r="C527"/>
    </row>
    <row r="528" spans="2:3" ht="12.75">
      <c r="B528"/>
      <c r="C528"/>
    </row>
    <row r="529" spans="2:3" ht="12.75">
      <c r="B529"/>
      <c r="C529"/>
    </row>
    <row r="530" spans="2:3" ht="12.75">
      <c r="B530"/>
      <c r="C530"/>
    </row>
    <row r="531" spans="2:3" ht="12.75">
      <c r="B531"/>
      <c r="C531"/>
    </row>
  </sheetData>
  <printOptions/>
  <pageMargins left="0.75" right="0.75" top="1" bottom="1" header="0.5" footer="0.5"/>
  <pageSetup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Robert E. Jenson</dc:creator>
  <cp:keywords/>
  <dc:description/>
  <cp:lastModifiedBy>rjensen</cp:lastModifiedBy>
  <cp:lastPrinted>1999-09-13T14:10:03Z</cp:lastPrinted>
  <dcterms:created xsi:type="dcterms:W3CDTF">1998-11-24T20:04:36Z</dcterms:created>
  <dcterms:modified xsi:type="dcterms:W3CDTF">2004-03-27T13:31:39Z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