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'Sheet1'!$B$8:$F$25</definedName>
  </definedNames>
  <calcPr fullCalcOnLoad="1"/>
</workbook>
</file>

<file path=xl/sharedStrings.xml><?xml version="1.0" encoding="utf-8"?>
<sst xmlns="http://schemas.openxmlformats.org/spreadsheetml/2006/main" count="732" uniqueCount="116">
  <si>
    <t>cc rate =</t>
  </si>
  <si>
    <t>Futures Exp. ------&gt;</t>
  </si>
  <si>
    <t>June 2000 Yield</t>
  </si>
  <si>
    <t>Options Contract Value</t>
  </si>
  <si>
    <t>Change in Value</t>
  </si>
  <si>
    <t xml:space="preserve"> </t>
  </si>
  <si>
    <t>Cash</t>
  </si>
  <si>
    <t>Notes payable</t>
  </si>
  <si>
    <t xml:space="preserve">Notes receivable </t>
  </si>
  <si>
    <t>Interest expense (revenue)</t>
  </si>
  <si>
    <t>Other comprehensive income (OCI)</t>
  </si>
  <si>
    <t>-To record interest on note receivable</t>
  </si>
  <si>
    <t>-To record interest on note payable</t>
  </si>
  <si>
    <t>Retained earnings</t>
  </si>
  <si>
    <t>March 2000 Yield</t>
  </si>
  <si>
    <t>Sept. 2000 Yield</t>
  </si>
  <si>
    <t>Dec. 1999</t>
  </si>
  <si>
    <t>Margin Deposit</t>
  </si>
  <si>
    <t>= Notional</t>
  </si>
  <si>
    <t>=contracts</t>
  </si>
  <si>
    <t>Note Receivable Rate</t>
  </si>
  <si>
    <t>Note Payable Rate</t>
  </si>
  <si>
    <t>SUMMARY</t>
  </si>
  <si>
    <t>Interest revenue for the year</t>
  </si>
  <si>
    <t>Less interest expense if not hedged:</t>
  </si>
  <si>
    <t xml:space="preserve">     </t>
  </si>
  <si>
    <t>Net income if interest expense is not hedged</t>
  </si>
  <si>
    <t>Add futures hedging gains and losses</t>
  </si>
  <si>
    <t>= expected hedged cost of capital rate</t>
  </si>
  <si>
    <t>= actual hedged cost of capital rate</t>
  </si>
  <si>
    <t>actual unhedged cost of capital rate</t>
  </si>
  <si>
    <t>-To record borrowing for one year</t>
  </si>
  <si>
    <t>-To record lending for one year</t>
  </si>
  <si>
    <t>285wp</t>
  </si>
  <si>
    <t>Net income if interest expense is hedged</t>
  </si>
  <si>
    <t xml:space="preserve">Expected revenue = IRR of $200,000 quarterly = </t>
  </si>
  <si>
    <t>Expected cost of funds</t>
  </si>
  <si>
    <t>Expected profit</t>
  </si>
  <si>
    <t>= scale factor</t>
  </si>
  <si>
    <t>= quarterly</t>
  </si>
  <si>
    <t>Actual Outcomes</t>
  </si>
  <si>
    <t>Error</t>
  </si>
  <si>
    <t>Rate</t>
  </si>
  <si>
    <t>New Margin Balance</t>
  </si>
  <si>
    <t>(90/360) Adjustment Factor</t>
  </si>
  <si>
    <t>(91/360) Adjustment Factor</t>
  </si>
  <si>
    <t>(360/365) cc Rate Factor</t>
  </si>
  <si>
    <t>(364/365) cc Rate Factor</t>
  </si>
  <si>
    <t>-To close the books</t>
  </si>
  <si>
    <t>Date</t>
  </si>
  <si>
    <t>Debit</t>
  </si>
  <si>
    <t>(Credit)</t>
  </si>
  <si>
    <t>Balance</t>
  </si>
  <si>
    <t>Notes receivable</t>
  </si>
  <si>
    <t>-To record the payoff of the note receivable</t>
  </si>
  <si>
    <t>-To record the payoff of the note payable</t>
  </si>
  <si>
    <t>MarginWHEW Bank Accounts</t>
  </si>
  <si>
    <t>-To record margin account</t>
  </si>
  <si>
    <t>Spot Rates</t>
  </si>
  <si>
    <t>= accounting discount rate (APR)</t>
  </si>
  <si>
    <t>= loan rate (APR)</t>
  </si>
  <si>
    <t>= number of compoundings</t>
  </si>
  <si>
    <t xml:space="preserve">= accounting discount rate </t>
  </si>
  <si>
    <t>= zero discount rate</t>
  </si>
  <si>
    <t>= number of settlements</t>
  </si>
  <si>
    <t>Assumed FAS 133 discount rate =</t>
  </si>
  <si>
    <t>= Number of days since purchase of futures contracts</t>
  </si>
  <si>
    <t>The number of days to futures contract expiration =</t>
  </si>
  <si>
    <t>Margin</t>
  </si>
  <si>
    <t>OCI</t>
  </si>
  <si>
    <t>Interest</t>
  </si>
  <si>
    <t>Expense</t>
  </si>
  <si>
    <t>(Revenue)</t>
  </si>
  <si>
    <t>Adjustment to</t>
  </si>
  <si>
    <t>Adj. To Margin</t>
  </si>
  <si>
    <t>Adj. To OCI</t>
  </si>
  <si>
    <t>Int. Exp.</t>
  </si>
  <si>
    <t>`</t>
  </si>
  <si>
    <t>Periodic interest rate (a)</t>
  </si>
  <si>
    <t>WP 285 MarginWHEW</t>
  </si>
  <si>
    <t>Units in contract (b)</t>
  </si>
  <si>
    <t>Contracts (c)</t>
  </si>
  <si>
    <t>Total quantity (d)</t>
  </si>
  <si>
    <t>Future Contract Price</t>
  </si>
  <si>
    <t>Original Spot Price</t>
  </si>
  <si>
    <t>Days to Expiration (e)</t>
  </si>
  <si>
    <t xml:space="preserve">  Future price</t>
  </si>
  <si>
    <t xml:space="preserve">  Spot price</t>
  </si>
  <si>
    <t xml:space="preserve">  days from 12/17/99 (f)</t>
  </si>
  <si>
    <t xml:space="preserve">  FVd(fut) (g)</t>
  </si>
  <si>
    <t xml:space="preserve">  FVd(spot) (h)</t>
  </si>
  <si>
    <t>Dr/(Cr)</t>
  </si>
  <si>
    <t xml:space="preserve">  FVd(fut-spot) (i)</t>
  </si>
  <si>
    <t xml:space="preserve">  dFVd(fut) (j)</t>
  </si>
  <si>
    <t>(FC Asset/liab effect)</t>
  </si>
  <si>
    <t xml:space="preserve">  dFVd(spot) (j)</t>
  </si>
  <si>
    <t>(OCI effect)</t>
  </si>
  <si>
    <t xml:space="preserve">  dFVd(fut-spot) (j)</t>
  </si>
  <si>
    <t>(Net Income effect)</t>
  </si>
  <si>
    <t>= annual APR rate</t>
  </si>
  <si>
    <t>= daily rate</t>
  </si>
  <si>
    <t>Quarterly factors</t>
  </si>
  <si>
    <t>See See http://www.cme.com/market/interest/howto/hedging.html</t>
  </si>
  <si>
    <t>= locked in spread after hedge</t>
  </si>
  <si>
    <t>APR</t>
  </si>
  <si>
    <t>Discount</t>
  </si>
  <si>
    <t>= Note payable increment above spot rates</t>
  </si>
  <si>
    <t xml:space="preserve">Futures margin account  </t>
  </si>
  <si>
    <t xml:space="preserve">- To adjust futures contracts to fair value.  </t>
  </si>
  <si>
    <t>-To adjust futures contracts to fair value</t>
  </si>
  <si>
    <t>-To adjust futures contracts to fair value.</t>
  </si>
  <si>
    <t>September Contracts</t>
  </si>
  <si>
    <t>December Contracts</t>
  </si>
  <si>
    <t xml:space="preserve">    March Contracts</t>
  </si>
  <si>
    <t>Spot Yield</t>
  </si>
  <si>
    <t>Yield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</si>
</sst>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&quot;$&quot;#,##0.00"/>
    <numFmt numFmtId="167" formatCode="0.000"/>
    <numFmt numFmtId="168" formatCode="0.0000"/>
    <numFmt numFmtId="169" formatCode="0.00000"/>
    <numFmt numFmtId="170" formatCode="0.0000%"/>
    <numFmt numFmtId="171" formatCode="&quot;$&quot;#,##0.0"/>
    <numFmt numFmtId="172" formatCode="0.0"/>
    <numFmt numFmtId="173" formatCode="&quot;$&quot;#,##0.000_);[Red]\(&quot;$&quot;#,##0.000\)"/>
    <numFmt numFmtId="174" formatCode="&quot;$&quot;#,##0.0_);[Red]\(&quot;$&quot;#,##0.0\)"/>
    <numFmt numFmtId="175" formatCode="&quot;$&quot;#,##0.0000_);[Red]\(&quot;$&quot;#,##0.0000\)"/>
    <numFmt numFmtId="176" formatCode="0.0%"/>
    <numFmt numFmtId="177" formatCode="0.000%"/>
    <numFmt numFmtId="178" formatCode="0.00000%"/>
    <numFmt numFmtId="179" formatCode="&quot;$&quot;#,##0.00000_);[Red]\(&quot;$&quot;#,##0.00000\)"/>
    <numFmt numFmtId="180" formatCode="0.00000_);[Red]\(0.00000\)"/>
    <numFmt numFmtId="181" formatCode="0.000000"/>
    <numFmt numFmtId="182" formatCode="0.0000000"/>
    <numFmt numFmtId="183" formatCode="0.000000%"/>
    <numFmt numFmtId="184" formatCode="0.00_);[Red]\(0.00\)"/>
    <numFmt numFmtId="185" formatCode="0_);[Red]\(0\)"/>
    <numFmt numFmtId="186" formatCode="mm/dd/yy"/>
    <numFmt numFmtId="187" formatCode="_(* #,##0_);_(* \(#,##0\);_(* &quot;-&quot;??_);_(@_)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9.25"/>
      <name val="Arial"/>
      <family val="0"/>
    </font>
    <font>
      <sz val="1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165" fontId="0" fillId="3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4" borderId="4" xfId="0" applyNumberFormat="1" applyFill="1" applyBorder="1" applyAlignment="1">
      <alignment horizontal="center" wrapText="1"/>
    </xf>
    <xf numFmtId="165" fontId="0" fillId="5" borderId="4" xfId="0" applyNumberForma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0" fillId="6" borderId="4" xfId="0" applyNumberFormat="1" applyFill="1" applyBorder="1" applyAlignment="1">
      <alignment horizontal="center" wrapText="1"/>
    </xf>
    <xf numFmtId="164" fontId="0" fillId="6" borderId="3" xfId="0" applyNumberFormat="1" applyFill="1" applyBorder="1" applyAlignment="1">
      <alignment horizontal="center" wrapText="1"/>
    </xf>
    <xf numFmtId="170" fontId="0" fillId="0" borderId="0" xfId="0" applyNumberFormat="1" applyAlignment="1">
      <alignment horizontal="center"/>
    </xf>
    <xf numFmtId="4" fontId="0" fillId="3" borderId="3" xfId="0" applyNumberFormat="1" applyFill="1" applyBorder="1" applyAlignment="1">
      <alignment horizontal="center" wrapText="1"/>
    </xf>
    <xf numFmtId="4" fontId="0" fillId="3" borderId="6" xfId="0" applyNumberFormat="1" applyFill="1" applyBorder="1" applyAlignment="1">
      <alignment horizontal="center" wrapText="1"/>
    </xf>
    <xf numFmtId="4" fontId="0" fillId="2" borderId="3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 wrapText="1"/>
    </xf>
    <xf numFmtId="4" fontId="0" fillId="7" borderId="3" xfId="0" applyNumberFormat="1" applyFill="1" applyBorder="1" applyAlignment="1">
      <alignment horizontal="center" wrapText="1"/>
    </xf>
    <xf numFmtId="4" fontId="0" fillId="6" borderId="3" xfId="0" applyNumberFormat="1" applyFill="1" applyBorder="1" applyAlignment="1">
      <alignment horizontal="center" wrapText="1"/>
    </xf>
    <xf numFmtId="4" fontId="0" fillId="5" borderId="6" xfId="0" applyNumberForma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0" fillId="0" borderId="6" xfId="0" applyNumberFormat="1" applyFill="1" applyBorder="1" applyAlignment="1">
      <alignment horizontal="center" wrapText="1"/>
    </xf>
    <xf numFmtId="4" fontId="0" fillId="7" borderId="6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164" fontId="0" fillId="8" borderId="3" xfId="0" applyNumberFormat="1" applyFill="1" applyBorder="1" applyAlignment="1">
      <alignment horizontal="center" wrapText="1"/>
    </xf>
    <xf numFmtId="164" fontId="0" fillId="9" borderId="5" xfId="0" applyNumberFormat="1" applyFill="1" applyBorder="1" applyAlignment="1">
      <alignment horizontal="center" wrapText="1"/>
    </xf>
    <xf numFmtId="164" fontId="0" fillId="9" borderId="0" xfId="0" applyNumberFormat="1" applyFill="1" applyAlignment="1">
      <alignment/>
    </xf>
    <xf numFmtId="0" fontId="0" fillId="9" borderId="0" xfId="0" applyFill="1" applyAlignment="1">
      <alignment/>
    </xf>
    <xf numFmtId="164" fontId="0" fillId="8" borderId="4" xfId="0" applyNumberFormat="1" applyFill="1" applyBorder="1" applyAlignment="1">
      <alignment horizontal="center" wrapText="1"/>
    </xf>
    <xf numFmtId="16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4" fontId="0" fillId="6" borderId="0" xfId="0" applyNumberFormat="1" applyFill="1" applyAlignment="1">
      <alignment/>
    </xf>
    <xf numFmtId="0" fontId="0" fillId="6" borderId="0" xfId="0" applyFill="1" applyAlignment="1">
      <alignment/>
    </xf>
    <xf numFmtId="164" fontId="0" fillId="4" borderId="4" xfId="0" applyNumberFormat="1" applyFill="1" applyBorder="1" applyAlignment="1">
      <alignment horizontal="center" wrapText="1"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center" wrapText="1"/>
    </xf>
    <xf numFmtId="0" fontId="0" fillId="0" borderId="0" xfId="0" applyAlignment="1" quotePrefix="1">
      <alignment horizontal="left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6" fontId="0" fillId="0" borderId="7" xfId="0" applyNumberFormat="1" applyBorder="1" applyAlignment="1">
      <alignment/>
    </xf>
    <xf numFmtId="178" fontId="0" fillId="0" borderId="0" xfId="0" applyNumberFormat="1" applyAlignment="1">
      <alignment horizontal="center"/>
    </xf>
    <xf numFmtId="6" fontId="0" fillId="0" borderId="8" xfId="0" applyNumberFormat="1" applyBorder="1" applyAlignment="1">
      <alignment/>
    </xf>
    <xf numFmtId="164" fontId="0" fillId="9" borderId="9" xfId="0" applyNumberFormat="1" applyFill="1" applyBorder="1" applyAlignment="1">
      <alignment horizontal="center" wrapText="1"/>
    </xf>
    <xf numFmtId="168" fontId="0" fillId="9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4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0" fillId="8" borderId="0" xfId="0" applyNumberFormat="1" applyFill="1" applyAlignment="1">
      <alignment/>
    </xf>
    <xf numFmtId="182" fontId="0" fillId="0" borderId="0" xfId="0" applyNumberFormat="1" applyAlignment="1">
      <alignment/>
    </xf>
    <xf numFmtId="182" fontId="0" fillId="9" borderId="0" xfId="0" applyNumberFormat="1" applyFill="1" applyAlignment="1">
      <alignment/>
    </xf>
    <xf numFmtId="182" fontId="0" fillId="4" borderId="0" xfId="0" applyNumberFormat="1" applyFill="1" applyAlignment="1">
      <alignment/>
    </xf>
    <xf numFmtId="182" fontId="0" fillId="6" borderId="0" xfId="0" applyNumberFormat="1" applyFill="1" applyAlignment="1">
      <alignment/>
    </xf>
    <xf numFmtId="182" fontId="0" fillId="8" borderId="0" xfId="0" applyNumberFormat="1" applyFill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183" fontId="2" fillId="0" borderId="16" xfId="0" applyNumberFormat="1" applyFont="1" applyBorder="1" applyAlignment="1">
      <alignment horizontal="center"/>
    </xf>
    <xf numFmtId="183" fontId="2" fillId="0" borderId="3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center"/>
    </xf>
    <xf numFmtId="183" fontId="3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2" fontId="0" fillId="0" borderId="0" xfId="0" applyNumberFormat="1" applyAlignment="1">
      <alignment horizontal="center"/>
    </xf>
    <xf numFmtId="38" fontId="1" fillId="0" borderId="12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13" xfId="0" applyBorder="1" applyAlignment="1">
      <alignment/>
    </xf>
    <xf numFmtId="165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13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7" fontId="0" fillId="0" borderId="0" xfId="15" applyNumberFormat="1" applyAlignment="1">
      <alignment/>
    </xf>
    <xf numFmtId="187" fontId="0" fillId="0" borderId="13" xfId="15" applyNumberFormat="1" applyBorder="1" applyAlignment="1">
      <alignment/>
    </xf>
    <xf numFmtId="38" fontId="0" fillId="0" borderId="0" xfId="15" applyNumberFormat="1" applyAlignment="1">
      <alignment/>
    </xf>
    <xf numFmtId="38" fontId="0" fillId="0" borderId="13" xfId="15" applyNumberFormat="1" applyBorder="1" applyAlignment="1">
      <alignment/>
    </xf>
    <xf numFmtId="181" fontId="0" fillId="3" borderId="3" xfId="0" applyNumberFormat="1" applyFill="1" applyBorder="1" applyAlignment="1">
      <alignment horizontal="center" wrapText="1"/>
    </xf>
    <xf numFmtId="181" fontId="0" fillId="3" borderId="6" xfId="0" applyNumberForma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right"/>
    </xf>
    <xf numFmtId="181" fontId="7" fillId="0" borderId="0" xfId="0" applyNumberFormat="1" applyFont="1" applyAlignment="1">
      <alignment/>
    </xf>
    <xf numFmtId="183" fontId="6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9" borderId="0" xfId="0" applyFill="1" applyAlignment="1" quotePrefix="1">
      <alignment horizontal="left"/>
    </xf>
    <xf numFmtId="178" fontId="0" fillId="9" borderId="0" xfId="0" applyNumberFormat="1" applyFill="1" applyAlignment="1">
      <alignment/>
    </xf>
    <xf numFmtId="0" fontId="0" fillId="9" borderId="0" xfId="0" applyFill="1" applyAlignment="1" quotePrefix="1">
      <alignment/>
    </xf>
    <xf numFmtId="0" fontId="0" fillId="9" borderId="13" xfId="0" applyFill="1" applyBorder="1" applyAlignment="1">
      <alignment/>
    </xf>
    <xf numFmtId="165" fontId="0" fillId="9" borderId="0" xfId="0" applyNumberFormat="1" applyFill="1" applyAlignment="1" quotePrefix="1">
      <alignment horizontal="left"/>
    </xf>
    <xf numFmtId="186" fontId="0" fillId="9" borderId="0" xfId="0" applyNumberFormat="1" applyFill="1" applyAlignment="1">
      <alignment/>
    </xf>
    <xf numFmtId="186" fontId="0" fillId="9" borderId="13" xfId="0" applyNumberFormat="1" applyFill="1" applyBorder="1" applyAlignment="1">
      <alignment horizontal="right"/>
    </xf>
    <xf numFmtId="2" fontId="0" fillId="9" borderId="0" xfId="0" applyNumberFormat="1" applyFill="1" applyAlignment="1">
      <alignment/>
    </xf>
    <xf numFmtId="2" fontId="0" fillId="9" borderId="13" xfId="0" applyNumberFormat="1" applyFill="1" applyBorder="1" applyAlignment="1">
      <alignment/>
    </xf>
    <xf numFmtId="184" fontId="0" fillId="9" borderId="0" xfId="0" applyNumberFormat="1" applyFill="1" applyAlignment="1">
      <alignment/>
    </xf>
    <xf numFmtId="0" fontId="0" fillId="10" borderId="0" xfId="0" applyFill="1" applyAlignment="1">
      <alignment/>
    </xf>
    <xf numFmtId="0" fontId="0" fillId="10" borderId="13" xfId="0" applyFill="1" applyBorder="1" applyAlignment="1">
      <alignment/>
    </xf>
    <xf numFmtId="0" fontId="2" fillId="1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170" fontId="2" fillId="11" borderId="0" xfId="0" applyNumberFormat="1" applyFont="1" applyFill="1" applyAlignment="1">
      <alignment horizontal="center"/>
    </xf>
    <xf numFmtId="170" fontId="2" fillId="9" borderId="0" xfId="0" applyNumberFormat="1" applyFont="1" applyFill="1" applyAlignment="1">
      <alignment/>
    </xf>
    <xf numFmtId="185" fontId="0" fillId="9" borderId="0" xfId="0" applyNumberFormat="1" applyFill="1" applyAlignment="1">
      <alignment/>
    </xf>
    <xf numFmtId="187" fontId="0" fillId="9" borderId="0" xfId="15" applyNumberFormat="1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6" fontId="0" fillId="9" borderId="0" xfId="15" applyNumberFormat="1" applyFill="1" applyAlignment="1">
      <alignment/>
    </xf>
    <xf numFmtId="187" fontId="0" fillId="9" borderId="13" xfId="15" applyNumberFormat="1" applyFill="1" applyBorder="1" applyAlignment="1">
      <alignment/>
    </xf>
    <xf numFmtId="38" fontId="0" fillId="9" borderId="0" xfId="15" applyNumberFormat="1" applyFill="1" applyAlignment="1">
      <alignment/>
    </xf>
    <xf numFmtId="38" fontId="0" fillId="9" borderId="13" xfId="15" applyNumberFormat="1" applyFill="1" applyBorder="1" applyAlignment="1">
      <alignment/>
    </xf>
    <xf numFmtId="6" fontId="0" fillId="9" borderId="13" xfId="15" applyNumberFormat="1" applyFill="1" applyBorder="1" applyAlignment="1">
      <alignment/>
    </xf>
    <xf numFmtId="0" fontId="2" fillId="11" borderId="0" xfId="0" applyFont="1" applyFill="1" applyAlignment="1">
      <alignment/>
    </xf>
    <xf numFmtId="0" fontId="2" fillId="10" borderId="0" xfId="0" applyFont="1" applyFill="1" applyAlignment="1">
      <alignment/>
    </xf>
    <xf numFmtId="6" fontId="2" fillId="11" borderId="0" xfId="15" applyNumberFormat="1" applyFont="1" applyFill="1" applyAlignment="1">
      <alignment/>
    </xf>
    <xf numFmtId="6" fontId="2" fillId="11" borderId="13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9" borderId="0" xfId="0" applyFont="1" applyFill="1" applyAlignment="1">
      <alignment/>
    </xf>
    <xf numFmtId="6" fontId="2" fillId="9" borderId="0" xfId="15" applyNumberFormat="1" applyFont="1" applyFill="1" applyAlignment="1">
      <alignment/>
    </xf>
    <xf numFmtId="6" fontId="2" fillId="10" borderId="0" xfId="15" applyNumberFormat="1" applyFont="1" applyFill="1" applyAlignment="1">
      <alignment/>
    </xf>
    <xf numFmtId="168" fontId="0" fillId="0" borderId="0" xfId="0" applyNumberFormat="1" applyFill="1" applyAlignment="1">
      <alignment/>
    </xf>
    <xf numFmtId="6" fontId="0" fillId="0" borderId="0" xfId="0" applyNumberFormat="1" applyAlignment="1">
      <alignment horizontal="left"/>
    </xf>
    <xf numFmtId="6" fontId="0" fillId="0" borderId="7" xfId="0" applyNumberFormat="1" applyBorder="1" applyAlignment="1">
      <alignment horizontal="left"/>
    </xf>
    <xf numFmtId="178" fontId="0" fillId="0" borderId="8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6" fontId="0" fillId="0" borderId="8" xfId="0" applyNumberFormat="1" applyBorder="1" applyAlignment="1">
      <alignment horizontal="left"/>
    </xf>
    <xf numFmtId="0" fontId="0" fillId="2" borderId="2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September 2000 Futures Contracts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Sheet1!$AD$8</c:f>
              <c:strCache>
                <c:ptCount val="1"/>
                <c:pt idx="0">
                  <c:v>Spot 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Sheet1!$AD$9:$AD$21</c:f>
              <c:numCache/>
            </c:numRef>
          </c:val>
          <c:smooth val="0"/>
        </c:ser>
        <c:ser>
          <c:idx val="1"/>
          <c:order val="1"/>
          <c:tx>
            <c:strRef>
              <c:f>Sheet1!$AE$8</c:f>
              <c:strCache>
                <c:ptCount val="1"/>
                <c:pt idx="0">
                  <c:v>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Sheet1!$AE$9:$AE$21</c:f>
              <c:numCache/>
            </c:numRef>
          </c:val>
          <c:smooth val="0"/>
        </c:ser>
        <c:marker val="1"/>
        <c:axId val="29222330"/>
        <c:axId val="42141203"/>
      </c:lineChart>
      <c:catAx>
        <c:axId val="2922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41203"/>
        <c:crosses val="autoZero"/>
        <c:auto val="1"/>
        <c:lblOffset val="100"/>
        <c:noMultiLvlLbl val="0"/>
      </c:catAx>
      <c:valAx>
        <c:axId val="4214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133350</xdr:colOff>
      <xdr:row>7</xdr:row>
      <xdr:rowOff>47625</xdr:rowOff>
    </xdr:from>
    <xdr:to>
      <xdr:col>42</xdr:col>
      <xdr:colOff>552450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860125" y="1190625"/>
        <a:ext cx="7124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0"/>
  <sheetViews>
    <sheetView tabSelected="1" workbookViewId="0" topLeftCell="A7">
      <selection activeCell="AD8" sqref="AD8:AE21"/>
    </sheetView>
  </sheetViews>
  <sheetFormatPr defaultColWidth="9.140625" defaultRowHeight="12.75"/>
  <cols>
    <col min="1" max="1" width="17.140625" style="12" bestFit="1" customWidth="1"/>
    <col min="2" max="2" width="31.421875" style="0" customWidth="1"/>
    <col min="3" max="4" width="11.28125" style="12" bestFit="1" customWidth="1"/>
    <col min="5" max="5" width="14.7109375" style="12" bestFit="1" customWidth="1"/>
    <col min="6" max="6" width="11.28125" style="12" customWidth="1"/>
    <col min="7" max="7" width="12.57421875" style="0" bestFit="1" customWidth="1"/>
    <col min="8" max="8" width="19.00390625" style="0" customWidth="1"/>
    <col min="9" max="9" width="10.7109375" style="0" bestFit="1" customWidth="1"/>
    <col min="10" max="10" width="10.8515625" style="0" bestFit="1" customWidth="1"/>
    <col min="11" max="11" width="10.140625" style="0" customWidth="1"/>
    <col min="18" max="19" width="10.28125" style="0" customWidth="1"/>
    <col min="20" max="20" width="11.7109375" style="12" customWidth="1"/>
    <col min="21" max="21" width="11.7109375" style="0" customWidth="1"/>
    <col min="22" max="22" width="11.7109375" style="12" customWidth="1"/>
    <col min="23" max="23" width="11.7109375" style="0" customWidth="1"/>
  </cols>
  <sheetData>
    <row r="1" spans="1:12" ht="12.75">
      <c r="A1" s="12" t="s">
        <v>33</v>
      </c>
      <c r="B1" s="48">
        <v>10000000</v>
      </c>
      <c r="C1" s="46" t="s">
        <v>18</v>
      </c>
      <c r="D1" s="49">
        <v>10</v>
      </c>
      <c r="E1" s="91" t="s">
        <v>19</v>
      </c>
      <c r="G1" s="48">
        <v>2500</v>
      </c>
      <c r="H1" s="46" t="s">
        <v>38</v>
      </c>
      <c r="I1" s="1">
        <v>0.08</v>
      </c>
      <c r="J1" s="13" t="s">
        <v>60</v>
      </c>
      <c r="K1">
        <v>4</v>
      </c>
      <c r="L1" s="13" t="s">
        <v>39</v>
      </c>
    </row>
    <row r="2" spans="1:8" ht="12.75">
      <c r="A2" s="16">
        <v>36511</v>
      </c>
      <c r="B2" s="1">
        <f>C9/100</f>
        <v>0.0575</v>
      </c>
      <c r="C2" s="12">
        <f>T9</f>
        <v>0.25277777777777777</v>
      </c>
      <c r="D2">
        <f>1+B2*C2</f>
        <v>1.0145347222222223</v>
      </c>
      <c r="E2" s="12" t="s">
        <v>5</v>
      </c>
      <c r="F2" s="92">
        <f>1+B2*V$9</f>
        <v>1.014375</v>
      </c>
      <c r="G2" s="1">
        <v>0.06</v>
      </c>
      <c r="H2" s="13" t="s">
        <v>59</v>
      </c>
    </row>
    <row r="3" spans="1:8" ht="12.75">
      <c r="A3" s="16">
        <v>36602</v>
      </c>
      <c r="B3" s="1">
        <f>D9/100</f>
        <v>0.0588</v>
      </c>
      <c r="C3" s="12">
        <f>T9</f>
        <v>0.25277777777777777</v>
      </c>
      <c r="D3">
        <f>1+B3*C3</f>
        <v>1.0148633333333332</v>
      </c>
      <c r="E3" s="12" t="s">
        <v>5</v>
      </c>
      <c r="F3" s="92">
        <f>1+B3*V$9</f>
        <v>1.0147</v>
      </c>
      <c r="G3">
        <v>365</v>
      </c>
      <c r="H3" s="13" t="s">
        <v>61</v>
      </c>
    </row>
    <row r="4" spans="1:8" ht="12.75">
      <c r="A4" s="16">
        <v>36694</v>
      </c>
      <c r="B4" s="1">
        <f>E9/100</f>
        <v>0.0605</v>
      </c>
      <c r="C4" s="12">
        <f>T9</f>
        <v>0.25277777777777777</v>
      </c>
      <c r="D4">
        <f>1+B4*C4</f>
        <v>1.0152930555555555</v>
      </c>
      <c r="E4" s="12" t="s">
        <v>5</v>
      </c>
      <c r="F4" s="92">
        <f>1+B4*V$9</f>
        <v>1.015125</v>
      </c>
      <c r="G4" s="66">
        <f>G2/G3</f>
        <v>0.00016438356164383562</v>
      </c>
      <c r="H4" s="13" t="s">
        <v>62</v>
      </c>
    </row>
    <row r="5" spans="1:8" ht="12.75">
      <c r="A5" s="16">
        <v>36786</v>
      </c>
      <c r="B5" s="1">
        <f>F9/100</f>
        <v>0.062</v>
      </c>
      <c r="C5" s="12">
        <f>T9</f>
        <v>0.25277777777777777</v>
      </c>
      <c r="D5">
        <f>1+B5*C5</f>
        <v>1.0156722222222223</v>
      </c>
      <c r="E5" s="12" t="s">
        <v>5</v>
      </c>
      <c r="F5" s="92">
        <f>1+B5*V$9</f>
        <v>1.0155</v>
      </c>
      <c r="G5">
        <v>0</v>
      </c>
      <c r="H5" s="13" t="s">
        <v>63</v>
      </c>
    </row>
    <row r="6" spans="3:20" ht="12.75">
      <c r="C6" s="12" t="s">
        <v>0</v>
      </c>
      <c r="D6" s="66">
        <f>(D2*D3*D4*D4-1)*(U9)</f>
        <v>0.06117871117109307</v>
      </c>
      <c r="E6" s="12" t="s">
        <v>5</v>
      </c>
      <c r="F6" s="68">
        <f>(F2*F3*F4*F5-1)*(W9)</f>
        <v>0.06021321448458029</v>
      </c>
      <c r="G6">
        <v>3</v>
      </c>
      <c r="H6" s="13" t="s">
        <v>64</v>
      </c>
      <c r="S6" s="50">
        <v>0</v>
      </c>
      <c r="T6" s="91" t="s">
        <v>106</v>
      </c>
    </row>
    <row r="7" spans="2:30" ht="13.5" thickBot="1">
      <c r="B7" t="s">
        <v>67</v>
      </c>
      <c r="D7" s="102">
        <f>A3-A$2</f>
        <v>91</v>
      </c>
      <c r="E7" s="102">
        <f>A4-A$2</f>
        <v>183</v>
      </c>
      <c r="F7" s="102">
        <f>A5-A$2</f>
        <v>275</v>
      </c>
      <c r="Z7" t="s">
        <v>111</v>
      </c>
      <c r="AB7" t="s">
        <v>112</v>
      </c>
      <c r="AD7" t="s">
        <v>113</v>
      </c>
    </row>
    <row r="8" spans="1:31" ht="39" thickBot="1">
      <c r="A8" s="12" t="s">
        <v>58</v>
      </c>
      <c r="B8" s="2" t="s">
        <v>1</v>
      </c>
      <c r="C8" s="3" t="s">
        <v>16</v>
      </c>
      <c r="D8" s="3" t="s">
        <v>14</v>
      </c>
      <c r="E8" s="3" t="s">
        <v>2</v>
      </c>
      <c r="F8" s="3" t="s">
        <v>15</v>
      </c>
      <c r="H8" s="2" t="s">
        <v>1</v>
      </c>
      <c r="I8" s="3" t="s">
        <v>3</v>
      </c>
      <c r="J8" s="3" t="s">
        <v>4</v>
      </c>
      <c r="K8" s="3" t="s">
        <v>43</v>
      </c>
      <c r="L8" s="45" t="s">
        <v>17</v>
      </c>
      <c r="N8" s="45" t="s">
        <v>17</v>
      </c>
      <c r="P8" s="45" t="s">
        <v>17</v>
      </c>
      <c r="R8" s="45" t="s">
        <v>20</v>
      </c>
      <c r="S8" s="45" t="s">
        <v>21</v>
      </c>
      <c r="T8" s="45" t="s">
        <v>45</v>
      </c>
      <c r="U8" s="45" t="s">
        <v>47</v>
      </c>
      <c r="V8" s="45" t="s">
        <v>44</v>
      </c>
      <c r="W8" s="45" t="s">
        <v>46</v>
      </c>
      <c r="X8" s="169" t="s">
        <v>21</v>
      </c>
      <c r="Z8" s="170" t="s">
        <v>114</v>
      </c>
      <c r="AA8" s="170" t="s">
        <v>115</v>
      </c>
      <c r="AB8" s="170" t="s">
        <v>114</v>
      </c>
      <c r="AC8" s="170" t="s">
        <v>115</v>
      </c>
      <c r="AD8" s="170" t="s">
        <v>114</v>
      </c>
      <c r="AE8" s="170" t="s">
        <v>115</v>
      </c>
    </row>
    <row r="9" spans="1:31" ht="12.75" customHeight="1">
      <c r="A9" s="67">
        <v>5.75</v>
      </c>
      <c r="B9" s="6">
        <v>36511</v>
      </c>
      <c r="C9" s="21">
        <v>5.75</v>
      </c>
      <c r="D9" s="21">
        <v>5.88</v>
      </c>
      <c r="E9" s="21">
        <v>6.05</v>
      </c>
      <c r="F9" s="22">
        <v>6.2</v>
      </c>
      <c r="H9" s="6">
        <v>36511</v>
      </c>
      <c r="I9" s="4">
        <v>0</v>
      </c>
      <c r="J9" s="4">
        <v>0</v>
      </c>
      <c r="K9" s="4">
        <v>0</v>
      </c>
      <c r="L9" s="36">
        <v>500</v>
      </c>
      <c r="M9" s="36">
        <f>K9+L9</f>
        <v>500</v>
      </c>
      <c r="N9" s="36"/>
      <c r="O9" s="36"/>
      <c r="P9" s="36"/>
      <c r="Q9" s="36"/>
      <c r="R9" s="36">
        <v>0.08</v>
      </c>
      <c r="S9" s="56">
        <f>(A9+S6)/100</f>
        <v>0.0575</v>
      </c>
      <c r="T9" s="62">
        <f>91/360</f>
        <v>0.25277777777777777</v>
      </c>
      <c r="U9" s="36">
        <f>364/365</f>
        <v>0.9972602739726028</v>
      </c>
      <c r="V9" s="56">
        <f>90/360</f>
        <v>0.25</v>
      </c>
      <c r="W9" s="56">
        <f>360/365</f>
        <v>0.9863013698630136</v>
      </c>
      <c r="Z9" s="171">
        <f>A9</f>
        <v>5.75</v>
      </c>
      <c r="AA9" s="171">
        <f>D9</f>
        <v>5.88</v>
      </c>
      <c r="AB9" s="171">
        <f>A9</f>
        <v>5.75</v>
      </c>
      <c r="AC9" s="171">
        <f>E9</f>
        <v>6.05</v>
      </c>
      <c r="AD9" s="171">
        <f>A9</f>
        <v>5.75</v>
      </c>
      <c r="AE9" s="171">
        <f>F9</f>
        <v>6.2</v>
      </c>
    </row>
    <row r="10" spans="1:31" ht="12.75" customHeight="1">
      <c r="A10" s="67">
        <v>5.79</v>
      </c>
      <c r="B10" s="7">
        <v>36525</v>
      </c>
      <c r="C10" s="26">
        <f>$C$9</f>
        <v>5.75</v>
      </c>
      <c r="D10" s="23">
        <v>5.9</v>
      </c>
      <c r="E10" s="23">
        <v>6.09</v>
      </c>
      <c r="F10" s="24">
        <v>6.23</v>
      </c>
      <c r="H10" s="7">
        <v>36525</v>
      </c>
      <c r="I10" s="5">
        <f>-((C$9-C10)*G$1*D$1+(D$9-D10)*G$1*D$1+(E$9-E10)*G$1*D$1+(F$9-F10)*G$1*D$1)</f>
        <v>2250.0000000000186</v>
      </c>
      <c r="J10" s="5">
        <f>I10-I9</f>
        <v>2250.0000000000186</v>
      </c>
      <c r="K10" s="5">
        <f>M9+J10</f>
        <v>2750.0000000000186</v>
      </c>
      <c r="L10">
        <v>0</v>
      </c>
      <c r="M10" s="11">
        <f>$K10+L10</f>
        <v>2750.0000000000186</v>
      </c>
      <c r="O10" s="11"/>
      <c r="Q10" s="11"/>
      <c r="S10" s="57"/>
      <c r="T10" s="61">
        <f aca="true" t="shared" si="0" ref="T10:T25">91/360</f>
        <v>0.25277777777777777</v>
      </c>
      <c r="V10" s="57">
        <f aca="true" t="shared" si="1" ref="V10:V25">90/360</f>
        <v>0.25</v>
      </c>
      <c r="Z10" s="171">
        <f>A10</f>
        <v>5.79</v>
      </c>
      <c r="AA10" s="171">
        <f>D10</f>
        <v>5.9</v>
      </c>
      <c r="AB10" s="171">
        <f aca="true" t="shared" si="2" ref="AB10:AB17">A10</f>
        <v>5.79</v>
      </c>
      <c r="AC10" s="171">
        <f>E10</f>
        <v>6.09</v>
      </c>
      <c r="AD10" s="171">
        <f aca="true" t="shared" si="3" ref="AD10:AD21">A10</f>
        <v>5.79</v>
      </c>
      <c r="AE10" s="171">
        <f aca="true" t="shared" si="4" ref="AE10:AE21">F10</f>
        <v>6.23</v>
      </c>
    </row>
    <row r="11" spans="1:31" ht="12.75" customHeight="1">
      <c r="A11" s="67">
        <v>5.89</v>
      </c>
      <c r="B11" s="7">
        <v>36556</v>
      </c>
      <c r="C11" s="26">
        <f aca="true" t="shared" si="5" ref="C11:C25">$C$9</f>
        <v>5.75</v>
      </c>
      <c r="D11" s="23">
        <v>6.1</v>
      </c>
      <c r="E11" s="23">
        <v>6.18</v>
      </c>
      <c r="F11" s="24">
        <v>6.26</v>
      </c>
      <c r="H11" s="7">
        <v>36556</v>
      </c>
      <c r="I11" s="5">
        <f aca="true" t="shared" si="6" ref="I11:I25">-((C$9-C11)*G$1*D$1+(D$9-D11)*G$1*D$1+(E$9-E11)*G$1*D$1+(F$9-F11)*G$1*D$1)</f>
        <v>10249.999999999984</v>
      </c>
      <c r="J11" s="5">
        <f aca="true" t="shared" si="7" ref="J11:J25">I11-I10</f>
        <v>7999.999999999965</v>
      </c>
      <c r="K11" s="5">
        <f>M10+J11</f>
        <v>10749.999999999984</v>
      </c>
      <c r="L11">
        <v>0</v>
      </c>
      <c r="M11">
        <f>$K11+L11</f>
        <v>10749.999999999984</v>
      </c>
      <c r="O11" s="11"/>
      <c r="Q11" s="11"/>
      <c r="S11" s="57"/>
      <c r="T11" s="61">
        <f t="shared" si="0"/>
        <v>0.25277777777777777</v>
      </c>
      <c r="V11" s="57">
        <f t="shared" si="1"/>
        <v>0.25</v>
      </c>
      <c r="Z11" s="171">
        <f>A11</f>
        <v>5.89</v>
      </c>
      <c r="AA11" s="171">
        <f>D11</f>
        <v>6.1</v>
      </c>
      <c r="AB11" s="171">
        <f t="shared" si="2"/>
        <v>5.89</v>
      </c>
      <c r="AC11" s="171">
        <f>E11</f>
        <v>6.18</v>
      </c>
      <c r="AD11" s="171">
        <f t="shared" si="3"/>
        <v>5.89</v>
      </c>
      <c r="AE11" s="171">
        <f t="shared" si="4"/>
        <v>6.26</v>
      </c>
    </row>
    <row r="12" spans="1:31" ht="12.75" customHeight="1">
      <c r="A12" s="67">
        <v>6.45</v>
      </c>
      <c r="B12" s="7">
        <v>36585</v>
      </c>
      <c r="C12" s="26">
        <f t="shared" si="5"/>
        <v>5.75</v>
      </c>
      <c r="D12" s="23">
        <v>6.5</v>
      </c>
      <c r="E12" s="23">
        <v>6.59</v>
      </c>
      <c r="F12" s="24">
        <v>6.69</v>
      </c>
      <c r="H12" s="7">
        <v>36585</v>
      </c>
      <c r="I12" s="5">
        <f t="shared" si="6"/>
        <v>41250</v>
      </c>
      <c r="J12" s="5">
        <f t="shared" si="7"/>
        <v>31000.000000000015</v>
      </c>
      <c r="K12" s="5">
        <f>M11+J12</f>
        <v>41750</v>
      </c>
      <c r="L12">
        <v>0</v>
      </c>
      <c r="M12">
        <f>$K12+L12</f>
        <v>41750</v>
      </c>
      <c r="O12" s="11"/>
      <c r="Q12" s="11"/>
      <c r="S12" s="57"/>
      <c r="T12" s="61">
        <f t="shared" si="0"/>
        <v>0.25277777777777777</v>
      </c>
      <c r="V12" s="57">
        <f t="shared" si="1"/>
        <v>0.25</v>
      </c>
      <c r="Z12" s="171">
        <f>A12</f>
        <v>6.45</v>
      </c>
      <c r="AA12" s="171">
        <f>D12</f>
        <v>6.5</v>
      </c>
      <c r="AB12" s="171">
        <f t="shared" si="2"/>
        <v>6.45</v>
      </c>
      <c r="AC12" s="171">
        <f>E12</f>
        <v>6.59</v>
      </c>
      <c r="AD12" s="171">
        <f t="shared" si="3"/>
        <v>6.45</v>
      </c>
      <c r="AE12" s="171">
        <f t="shared" si="4"/>
        <v>6.69</v>
      </c>
    </row>
    <row r="13" spans="1:31" ht="12.75" customHeight="1">
      <c r="A13" s="67">
        <v>7.02</v>
      </c>
      <c r="B13" s="8">
        <v>36602</v>
      </c>
      <c r="C13" s="26">
        <f t="shared" si="5"/>
        <v>5.75</v>
      </c>
      <c r="D13" s="25">
        <v>7.02</v>
      </c>
      <c r="E13" s="29">
        <v>7.08</v>
      </c>
      <c r="F13" s="30">
        <v>7.15</v>
      </c>
      <c r="H13" s="8">
        <v>36602</v>
      </c>
      <c r="I13" s="32">
        <f t="shared" si="6"/>
        <v>78000</v>
      </c>
      <c r="J13" s="42">
        <f t="shared" si="7"/>
        <v>36750</v>
      </c>
      <c r="K13" s="42">
        <f>M12+J13</f>
        <v>78500</v>
      </c>
      <c r="L13" s="44">
        <f>(D$9-D13)*(2500)*($D$1)</f>
        <v>-28499.999999999993</v>
      </c>
      <c r="M13" s="44">
        <f>$K13+L13</f>
        <v>50000.00000000001</v>
      </c>
      <c r="N13" s="44"/>
      <c r="O13" s="43">
        <f>M13</f>
        <v>50000.00000000001</v>
      </c>
      <c r="P13" s="44"/>
      <c r="Q13" s="43"/>
      <c r="R13" s="44">
        <v>0.08</v>
      </c>
      <c r="S13" s="58">
        <f>(A9+S6)/100</f>
        <v>0.0575</v>
      </c>
      <c r="T13" s="63">
        <f t="shared" si="0"/>
        <v>0.25277777777777777</v>
      </c>
      <c r="U13" s="44"/>
      <c r="V13" s="58">
        <f t="shared" si="1"/>
        <v>0.25</v>
      </c>
      <c r="W13" s="44"/>
      <c r="X13">
        <f>S13*T13</f>
        <v>0.014534722222222221</v>
      </c>
      <c r="Z13" s="171">
        <f>A13</f>
        <v>7.02</v>
      </c>
      <c r="AA13" s="171">
        <f>D13</f>
        <v>7.02</v>
      </c>
      <c r="AB13" s="171">
        <f t="shared" si="2"/>
        <v>7.02</v>
      </c>
      <c r="AC13" s="171">
        <f>E13</f>
        <v>7.08</v>
      </c>
      <c r="AD13" s="171">
        <f t="shared" si="3"/>
        <v>7.02</v>
      </c>
      <c r="AE13" s="171">
        <f t="shared" si="4"/>
        <v>7.15</v>
      </c>
    </row>
    <row r="14" spans="1:31" ht="12.75" customHeight="1">
      <c r="A14" s="67">
        <v>7.06</v>
      </c>
      <c r="B14" s="7">
        <v>36616</v>
      </c>
      <c r="C14" s="26">
        <f t="shared" si="5"/>
        <v>5.75</v>
      </c>
      <c r="D14" s="26">
        <f>$D$9</f>
        <v>5.88</v>
      </c>
      <c r="E14" s="23">
        <v>7.1</v>
      </c>
      <c r="F14" s="24">
        <v>7.17</v>
      </c>
      <c r="H14" s="7">
        <v>36616</v>
      </c>
      <c r="I14" s="5">
        <f t="shared" si="6"/>
        <v>50499.99999999999</v>
      </c>
      <c r="J14" s="5">
        <f t="shared" si="7"/>
        <v>-27500.000000000007</v>
      </c>
      <c r="K14" s="5">
        <f>I14+SUM(L9:L12)</f>
        <v>50999.99999999999</v>
      </c>
      <c r="N14">
        <v>0</v>
      </c>
      <c r="O14" s="11">
        <f aca="true" t="shared" si="8" ref="O14:O21">$K14+N14</f>
        <v>50999.99999999999</v>
      </c>
      <c r="Q14" s="11"/>
      <c r="S14" s="57"/>
      <c r="T14" s="61">
        <f t="shared" si="0"/>
        <v>0.25277777777777777</v>
      </c>
      <c r="V14" s="57">
        <f t="shared" si="1"/>
        <v>0.25</v>
      </c>
      <c r="Z14" s="171" t="s">
        <v>5</v>
      </c>
      <c r="AB14" s="171">
        <f t="shared" si="2"/>
        <v>7.06</v>
      </c>
      <c r="AC14" s="171">
        <f>E14</f>
        <v>7.1</v>
      </c>
      <c r="AD14" s="171">
        <f t="shared" si="3"/>
        <v>7.06</v>
      </c>
      <c r="AE14" s="171">
        <f t="shared" si="4"/>
        <v>7.17</v>
      </c>
    </row>
    <row r="15" spans="1:31" ht="12.75" customHeight="1">
      <c r="A15" s="67">
        <v>7.09</v>
      </c>
      <c r="B15" s="7">
        <v>36646</v>
      </c>
      <c r="C15" s="26">
        <f t="shared" si="5"/>
        <v>5.75</v>
      </c>
      <c r="D15" s="26">
        <f aca="true" t="shared" si="9" ref="D15:D25">$D$9</f>
        <v>5.88</v>
      </c>
      <c r="E15" s="23">
        <v>7.12</v>
      </c>
      <c r="F15" s="24">
        <v>7.2</v>
      </c>
      <c r="H15" s="7">
        <v>36646</v>
      </c>
      <c r="I15" s="5">
        <f t="shared" si="6"/>
        <v>51750.00000000001</v>
      </c>
      <c r="J15" s="5">
        <f t="shared" si="7"/>
        <v>1250.0000000000146</v>
      </c>
      <c r="K15" s="5">
        <f>O14+J15</f>
        <v>52250.00000000001</v>
      </c>
      <c r="N15">
        <v>0</v>
      </c>
      <c r="O15" s="11">
        <f t="shared" si="8"/>
        <v>52250.00000000001</v>
      </c>
      <c r="Q15" s="11"/>
      <c r="S15" s="57"/>
      <c r="T15" s="61">
        <f t="shared" si="0"/>
        <v>0.25277777777777777</v>
      </c>
      <c r="V15" s="57">
        <f t="shared" si="1"/>
        <v>0.25</v>
      </c>
      <c r="Z15" s="171" t="s">
        <v>5</v>
      </c>
      <c r="AB15" s="171">
        <f t="shared" si="2"/>
        <v>7.09</v>
      </c>
      <c r="AC15" s="171">
        <f>E15</f>
        <v>7.12</v>
      </c>
      <c r="AD15" s="171">
        <f t="shared" si="3"/>
        <v>7.09</v>
      </c>
      <c r="AE15" s="171">
        <f t="shared" si="4"/>
        <v>7.2</v>
      </c>
    </row>
    <row r="16" spans="1:31" ht="12.75" customHeight="1">
      <c r="A16" s="67">
        <v>7.12</v>
      </c>
      <c r="B16" s="7">
        <v>36677</v>
      </c>
      <c r="C16" s="26">
        <f t="shared" si="5"/>
        <v>5.75</v>
      </c>
      <c r="D16" s="26">
        <f t="shared" si="9"/>
        <v>5.88</v>
      </c>
      <c r="E16" s="23">
        <v>7.14</v>
      </c>
      <c r="F16" s="24">
        <v>7.23</v>
      </c>
      <c r="H16" s="7">
        <v>36677</v>
      </c>
      <c r="I16" s="5">
        <f t="shared" si="6"/>
        <v>53000</v>
      </c>
      <c r="J16" s="5">
        <f t="shared" si="7"/>
        <v>1249.9999999999927</v>
      </c>
      <c r="K16" s="5">
        <f>O15+J16</f>
        <v>53500</v>
      </c>
      <c r="N16">
        <v>0</v>
      </c>
      <c r="O16" s="11">
        <f t="shared" si="8"/>
        <v>53500</v>
      </c>
      <c r="Q16" s="11"/>
      <c r="S16" s="162">
        <f>(A12+S9)/100</f>
        <v>0.06507500000000001</v>
      </c>
      <c r="T16" s="61">
        <f t="shared" si="0"/>
        <v>0.25277777777777777</v>
      </c>
      <c r="V16" s="57">
        <f t="shared" si="1"/>
        <v>0.25</v>
      </c>
      <c r="Z16" s="171" t="s">
        <v>5</v>
      </c>
      <c r="AB16" s="171">
        <f t="shared" si="2"/>
        <v>7.12</v>
      </c>
      <c r="AC16" s="171">
        <f>E16</f>
        <v>7.14</v>
      </c>
      <c r="AD16" s="171">
        <f t="shared" si="3"/>
        <v>7.12</v>
      </c>
      <c r="AE16" s="171">
        <f t="shared" si="4"/>
        <v>7.23</v>
      </c>
    </row>
    <row r="17" spans="1:31" ht="12.75" customHeight="1">
      <c r="A17" s="67">
        <v>7.2</v>
      </c>
      <c r="B17" s="18">
        <v>36694</v>
      </c>
      <c r="C17" s="26">
        <f t="shared" si="5"/>
        <v>5.75</v>
      </c>
      <c r="D17" s="26">
        <f t="shared" si="9"/>
        <v>5.88</v>
      </c>
      <c r="E17" s="27">
        <v>7.2</v>
      </c>
      <c r="F17" s="30">
        <v>7.25</v>
      </c>
      <c r="H17" s="18">
        <v>36694</v>
      </c>
      <c r="I17" s="19">
        <f t="shared" si="6"/>
        <v>55000</v>
      </c>
      <c r="J17" s="19">
        <f t="shared" si="7"/>
        <v>2000</v>
      </c>
      <c r="K17" s="19">
        <f>O16+J17</f>
        <v>55500</v>
      </c>
      <c r="L17" s="41"/>
      <c r="M17" s="41"/>
      <c r="N17" s="41">
        <f>(E$9-E17)*(2500)*($D$1)</f>
        <v>-28750.000000000007</v>
      </c>
      <c r="O17" s="40">
        <f t="shared" si="8"/>
        <v>26749.999999999993</v>
      </c>
      <c r="P17" s="41"/>
      <c r="Q17" s="40">
        <f aca="true" t="shared" si="10" ref="Q17:Q25">O17+P17</f>
        <v>26749.999999999993</v>
      </c>
      <c r="R17" s="41">
        <v>0.08</v>
      </c>
      <c r="S17" s="58">
        <f>(A13+S10)/100</f>
        <v>0.0702</v>
      </c>
      <c r="T17" s="64">
        <f t="shared" si="0"/>
        <v>0.25277777777777777</v>
      </c>
      <c r="U17" s="41"/>
      <c r="V17" s="59">
        <f t="shared" si="1"/>
        <v>0.25</v>
      </c>
      <c r="W17" s="41"/>
      <c r="X17">
        <f>S17*T17</f>
        <v>0.017745</v>
      </c>
      <c r="Z17" s="171" t="s">
        <v>5</v>
      </c>
      <c r="AB17" s="171">
        <f t="shared" si="2"/>
        <v>7.2</v>
      </c>
      <c r="AC17" s="171">
        <f>E17</f>
        <v>7.2</v>
      </c>
      <c r="AD17" s="171">
        <f t="shared" si="3"/>
        <v>7.2</v>
      </c>
      <c r="AE17" s="171">
        <f t="shared" si="4"/>
        <v>7.25</v>
      </c>
    </row>
    <row r="18" spans="1:31" ht="12.75" customHeight="1">
      <c r="A18" s="12">
        <v>7.22</v>
      </c>
      <c r="B18" s="7">
        <v>36707</v>
      </c>
      <c r="C18" s="26">
        <f t="shared" si="5"/>
        <v>5.75</v>
      </c>
      <c r="D18" s="26">
        <f t="shared" si="9"/>
        <v>5.88</v>
      </c>
      <c r="E18" s="26">
        <f>$E$9</f>
        <v>6.05</v>
      </c>
      <c r="F18" s="24">
        <v>7.28</v>
      </c>
      <c r="H18" s="7">
        <v>36707</v>
      </c>
      <c r="I18" s="5">
        <f t="shared" si="6"/>
        <v>27000</v>
      </c>
      <c r="J18" s="5">
        <f t="shared" si="7"/>
        <v>-28000</v>
      </c>
      <c r="K18" s="5">
        <f>I18+SUM(L9:L12)+SUM(N14:N16)</f>
        <v>27500</v>
      </c>
      <c r="O18" s="11">
        <f t="shared" si="8"/>
        <v>27500</v>
      </c>
      <c r="P18">
        <v>0</v>
      </c>
      <c r="Q18" s="11">
        <f t="shared" si="10"/>
        <v>27500</v>
      </c>
      <c r="S18" s="57"/>
      <c r="T18" s="61">
        <f t="shared" si="0"/>
        <v>0.25277777777777777</v>
      </c>
      <c r="V18" s="57">
        <f t="shared" si="1"/>
        <v>0.25</v>
      </c>
      <c r="Z18" s="171" t="s">
        <v>5</v>
      </c>
      <c r="AC18" s="171" t="s">
        <v>5</v>
      </c>
      <c r="AD18" s="171">
        <f t="shared" si="3"/>
        <v>7.22</v>
      </c>
      <c r="AE18" s="171">
        <f t="shared" si="4"/>
        <v>7.28</v>
      </c>
    </row>
    <row r="19" spans="1:31" ht="12.75" customHeight="1">
      <c r="A19" s="12">
        <v>7.25</v>
      </c>
      <c r="B19" s="7">
        <v>36738</v>
      </c>
      <c r="C19" s="26">
        <f t="shared" si="5"/>
        <v>5.75</v>
      </c>
      <c r="D19" s="26">
        <f t="shared" si="9"/>
        <v>5.88</v>
      </c>
      <c r="E19" s="26">
        <f aca="true" t="shared" si="11" ref="E19:E24">$E$9</f>
        <v>6.05</v>
      </c>
      <c r="F19" s="24">
        <v>7.3</v>
      </c>
      <c r="H19" s="7">
        <v>36738</v>
      </c>
      <c r="I19" s="5">
        <f t="shared" si="6"/>
        <v>27499.999999999993</v>
      </c>
      <c r="J19" s="5">
        <f t="shared" si="7"/>
        <v>499.9999999999927</v>
      </c>
      <c r="K19" s="5">
        <f>O18+J19</f>
        <v>27999.999999999993</v>
      </c>
      <c r="O19" s="11">
        <f t="shared" si="8"/>
        <v>27999.999999999993</v>
      </c>
      <c r="P19">
        <v>0</v>
      </c>
      <c r="Q19" s="11">
        <f t="shared" si="10"/>
        <v>27999.999999999993</v>
      </c>
      <c r="S19" s="57"/>
      <c r="T19" s="61">
        <f t="shared" si="0"/>
        <v>0.25277777777777777</v>
      </c>
      <c r="V19" s="57">
        <f t="shared" si="1"/>
        <v>0.25</v>
      </c>
      <c r="Z19" s="171" t="s">
        <v>5</v>
      </c>
      <c r="AC19" s="171" t="s">
        <v>5</v>
      </c>
      <c r="AD19" s="171">
        <f t="shared" si="3"/>
        <v>7.25</v>
      </c>
      <c r="AE19" s="171">
        <f t="shared" si="4"/>
        <v>7.3</v>
      </c>
    </row>
    <row r="20" spans="1:31" ht="12.75" customHeight="1">
      <c r="A20" s="12">
        <v>7.27</v>
      </c>
      <c r="B20" s="7">
        <v>36769</v>
      </c>
      <c r="C20" s="26">
        <f t="shared" si="5"/>
        <v>5.75</v>
      </c>
      <c r="D20" s="26">
        <f t="shared" si="9"/>
        <v>5.88</v>
      </c>
      <c r="E20" s="26">
        <f t="shared" si="11"/>
        <v>6.05</v>
      </c>
      <c r="F20" s="24">
        <v>7.33</v>
      </c>
      <c r="H20" s="7">
        <v>36769</v>
      </c>
      <c r="I20" s="5">
        <f t="shared" si="6"/>
        <v>28249.999999999996</v>
      </c>
      <c r="J20" s="5">
        <f t="shared" si="7"/>
        <v>750.0000000000036</v>
      </c>
      <c r="K20" s="5">
        <f>O19+J20</f>
        <v>28749.999999999996</v>
      </c>
      <c r="O20" s="11">
        <f t="shared" si="8"/>
        <v>28749.999999999996</v>
      </c>
      <c r="P20">
        <v>0</v>
      </c>
      <c r="Q20" s="11">
        <f t="shared" si="10"/>
        <v>28749.999999999996</v>
      </c>
      <c r="S20" s="57">
        <v>0.072</v>
      </c>
      <c r="T20" s="61">
        <f t="shared" si="0"/>
        <v>0.25277777777777777</v>
      </c>
      <c r="V20" s="57">
        <f t="shared" si="1"/>
        <v>0.25</v>
      </c>
      <c r="Z20" s="171" t="s">
        <v>5</v>
      </c>
      <c r="AC20" s="171" t="s">
        <v>5</v>
      </c>
      <c r="AD20" s="171">
        <f t="shared" si="3"/>
        <v>7.27</v>
      </c>
      <c r="AE20" s="171">
        <f t="shared" si="4"/>
        <v>7.33</v>
      </c>
    </row>
    <row r="21" spans="1:31" ht="12.75" customHeight="1">
      <c r="A21" s="12">
        <v>7.31</v>
      </c>
      <c r="B21" s="9">
        <v>36786</v>
      </c>
      <c r="C21" s="26">
        <f t="shared" si="5"/>
        <v>5.75</v>
      </c>
      <c r="D21" s="26">
        <f t="shared" si="9"/>
        <v>5.88</v>
      </c>
      <c r="E21" s="26">
        <f t="shared" si="11"/>
        <v>6.05</v>
      </c>
      <c r="F21" s="28">
        <v>7.34</v>
      </c>
      <c r="H21" s="9">
        <v>36786</v>
      </c>
      <c r="I21" s="33">
        <f t="shared" si="6"/>
        <v>28499.999999999993</v>
      </c>
      <c r="J21" s="37">
        <f t="shared" si="7"/>
        <v>249.99999999999636</v>
      </c>
      <c r="K21" s="37">
        <f>O20+J21</f>
        <v>28999.999999999993</v>
      </c>
      <c r="L21" s="39"/>
      <c r="M21" s="39"/>
      <c r="N21" s="39"/>
      <c r="O21" s="38">
        <f t="shared" si="8"/>
        <v>28999.999999999993</v>
      </c>
      <c r="P21" s="38">
        <f>-O21</f>
        <v>-28999.999999999993</v>
      </c>
      <c r="Q21" s="38">
        <f t="shared" si="10"/>
        <v>0</v>
      </c>
      <c r="R21" s="39">
        <v>0.08</v>
      </c>
      <c r="S21" s="58">
        <f>(A17+S14)/100</f>
        <v>0.07200000000000001</v>
      </c>
      <c r="T21" s="65">
        <f t="shared" si="0"/>
        <v>0.25277777777777777</v>
      </c>
      <c r="U21" s="39"/>
      <c r="V21" s="60">
        <f t="shared" si="1"/>
        <v>0.25</v>
      </c>
      <c r="W21" s="39"/>
      <c r="X21">
        <f>S21*T21</f>
        <v>0.0182</v>
      </c>
      <c r="Z21" s="171" t="s">
        <v>5</v>
      </c>
      <c r="AC21" s="171" t="s">
        <v>5</v>
      </c>
      <c r="AD21" s="171">
        <f t="shared" si="3"/>
        <v>7.31</v>
      </c>
      <c r="AE21" s="171">
        <f t="shared" si="4"/>
        <v>7.34</v>
      </c>
    </row>
    <row r="22" spans="1:22" ht="12.75" customHeight="1">
      <c r="A22" s="12">
        <v>7.34</v>
      </c>
      <c r="B22" s="7">
        <v>36799</v>
      </c>
      <c r="C22" s="26">
        <f t="shared" si="5"/>
        <v>5.75</v>
      </c>
      <c r="D22" s="26">
        <f t="shared" si="9"/>
        <v>5.88</v>
      </c>
      <c r="E22" s="26">
        <f t="shared" si="11"/>
        <v>6.05</v>
      </c>
      <c r="F22" s="31">
        <f>$F$9</f>
        <v>6.2</v>
      </c>
      <c r="H22" s="7">
        <v>36799</v>
      </c>
      <c r="I22" s="5">
        <f>-((C$9-C22)*G$1*D$1+(D$9-D22)*G$1*D$1+(E$9-E22)*G$1*D$1+(F$9-F22)*G$1*D$1)</f>
        <v>0</v>
      </c>
      <c r="J22" s="5">
        <f>-K21</f>
        <v>-28999.999999999993</v>
      </c>
      <c r="K22" s="5">
        <f>I22+J22</f>
        <v>-28999.999999999993</v>
      </c>
      <c r="O22" s="11"/>
      <c r="Q22" s="11">
        <f t="shared" si="10"/>
        <v>0</v>
      </c>
      <c r="S22" s="57"/>
      <c r="T22" s="61">
        <f t="shared" si="0"/>
        <v>0.25277777777777777</v>
      </c>
      <c r="V22" s="57">
        <f t="shared" si="1"/>
        <v>0.25</v>
      </c>
    </row>
    <row r="23" spans="2:22" ht="12.75" customHeight="1">
      <c r="B23" s="7">
        <v>36830</v>
      </c>
      <c r="C23" s="26">
        <f t="shared" si="5"/>
        <v>5.75</v>
      </c>
      <c r="D23" s="26">
        <f t="shared" si="9"/>
        <v>5.88</v>
      </c>
      <c r="E23" s="26">
        <f t="shared" si="11"/>
        <v>6.05</v>
      </c>
      <c r="F23" s="31">
        <f>$F$9</f>
        <v>6.2</v>
      </c>
      <c r="H23" s="7">
        <v>36830</v>
      </c>
      <c r="I23" s="5">
        <f t="shared" si="6"/>
        <v>0</v>
      </c>
      <c r="J23" s="5">
        <f t="shared" si="7"/>
        <v>0</v>
      </c>
      <c r="K23" s="5">
        <f>M22+J23</f>
        <v>0</v>
      </c>
      <c r="O23" s="11"/>
      <c r="Q23" s="11">
        <f t="shared" si="10"/>
        <v>0</v>
      </c>
      <c r="S23" s="57"/>
      <c r="T23" s="61">
        <f t="shared" si="0"/>
        <v>0.25277777777777777</v>
      </c>
      <c r="V23" s="57">
        <f t="shared" si="1"/>
        <v>0.25</v>
      </c>
    </row>
    <row r="24" spans="2:22" ht="12.75" customHeight="1">
      <c r="B24" s="7">
        <v>36860</v>
      </c>
      <c r="C24" s="26">
        <f t="shared" si="5"/>
        <v>5.75</v>
      </c>
      <c r="D24" s="26">
        <f t="shared" si="9"/>
        <v>5.88</v>
      </c>
      <c r="E24" s="26">
        <f t="shared" si="11"/>
        <v>6.05</v>
      </c>
      <c r="F24" s="31">
        <f>$F$9</f>
        <v>6.2</v>
      </c>
      <c r="H24" s="7">
        <v>36860</v>
      </c>
      <c r="I24" s="5">
        <f t="shared" si="6"/>
        <v>0</v>
      </c>
      <c r="J24" s="5">
        <f t="shared" si="7"/>
        <v>0</v>
      </c>
      <c r="K24" s="5">
        <f>M23+J24</f>
        <v>0</v>
      </c>
      <c r="O24" s="11"/>
      <c r="Q24" s="11">
        <f t="shared" si="10"/>
        <v>0</v>
      </c>
      <c r="S24" s="57">
        <v>0.0734</v>
      </c>
      <c r="T24" s="61">
        <f t="shared" si="0"/>
        <v>0.25277777777777777</v>
      </c>
      <c r="V24" s="57">
        <f t="shared" si="1"/>
        <v>0.25</v>
      </c>
    </row>
    <row r="25" spans="2:24" ht="12.75" customHeight="1" thickBot="1">
      <c r="B25" s="10">
        <v>36877</v>
      </c>
      <c r="C25" s="26">
        <f t="shared" si="5"/>
        <v>5.75</v>
      </c>
      <c r="D25" s="26">
        <f t="shared" si="9"/>
        <v>5.88</v>
      </c>
      <c r="E25" s="26">
        <f>E$9</f>
        <v>6.05</v>
      </c>
      <c r="F25" s="31">
        <f>$F$9</f>
        <v>6.2</v>
      </c>
      <c r="H25" s="10">
        <v>36877</v>
      </c>
      <c r="I25" s="55">
        <f t="shared" si="6"/>
        <v>0</v>
      </c>
      <c r="J25" s="34">
        <f t="shared" si="7"/>
        <v>0</v>
      </c>
      <c r="K25" s="34">
        <f>M24+J25</f>
        <v>0</v>
      </c>
      <c r="L25" s="36"/>
      <c r="M25" s="36"/>
      <c r="N25" s="36"/>
      <c r="O25" s="35"/>
      <c r="P25" s="35"/>
      <c r="Q25" s="35">
        <f t="shared" si="10"/>
        <v>0</v>
      </c>
      <c r="R25" s="36">
        <v>0.08</v>
      </c>
      <c r="S25" s="58">
        <f>(A21+S18)/100</f>
        <v>0.0731</v>
      </c>
      <c r="T25" s="62">
        <f t="shared" si="0"/>
        <v>0.25277777777777777</v>
      </c>
      <c r="U25" s="36"/>
      <c r="V25" s="56">
        <f t="shared" si="1"/>
        <v>0.25</v>
      </c>
      <c r="W25" s="36"/>
      <c r="X25">
        <f>S25*T25</f>
        <v>0.018478055555555553</v>
      </c>
    </row>
    <row r="26" spans="3:22" ht="12.75">
      <c r="C26" s="75" t="s">
        <v>50</v>
      </c>
      <c r="D26" s="76"/>
      <c r="E26" s="71" t="s">
        <v>50</v>
      </c>
      <c r="F26" s="72"/>
      <c r="J26" s="11">
        <f>SUM(J9:J25)</f>
        <v>-500</v>
      </c>
      <c r="K26" s="11" t="s">
        <v>5</v>
      </c>
      <c r="L26" s="11">
        <f>SUM(L9:L25)</f>
        <v>-27999.999999999993</v>
      </c>
      <c r="M26" s="11" t="s">
        <v>5</v>
      </c>
      <c r="N26" s="11">
        <f>SUM(N9:N25)</f>
        <v>-28750.000000000007</v>
      </c>
      <c r="O26" s="11" t="s">
        <v>5</v>
      </c>
      <c r="P26" s="11">
        <f>SUM(P9:P25)</f>
        <v>-28999.999999999993</v>
      </c>
      <c r="Q26" s="11" t="s">
        <v>5</v>
      </c>
      <c r="T26"/>
      <c r="V26"/>
    </row>
    <row r="27" spans="1:16" ht="12.75">
      <c r="A27" s="12" t="s">
        <v>49</v>
      </c>
      <c r="B27" s="79" t="s">
        <v>56</v>
      </c>
      <c r="C27" s="77" t="s">
        <v>51</v>
      </c>
      <c r="D27" s="78" t="s">
        <v>52</v>
      </c>
      <c r="E27" s="73" t="s">
        <v>51</v>
      </c>
      <c r="F27" s="74" t="s">
        <v>52</v>
      </c>
      <c r="P27" s="11">
        <f>-(L26+N26+P26)</f>
        <v>85750</v>
      </c>
    </row>
    <row r="28" spans="1:6" ht="12.75">
      <c r="A28" s="12">
        <v>1999</v>
      </c>
      <c r="B28" s="89" t="s">
        <v>65</v>
      </c>
      <c r="C28" s="85">
        <f>D28</f>
        <v>0</v>
      </c>
      <c r="D28" s="86">
        <f>G5</f>
        <v>0</v>
      </c>
      <c r="E28" s="87">
        <f>F28</f>
        <v>0.00016438356164383562</v>
      </c>
      <c r="F28" s="88">
        <f>G4</f>
        <v>0.00016438356164383562</v>
      </c>
    </row>
    <row r="29" spans="1:6" ht="12.75">
      <c r="A29" s="17">
        <f>B9</f>
        <v>36511</v>
      </c>
      <c r="B29" t="s">
        <v>6</v>
      </c>
      <c r="C29" s="80">
        <f>$B$1</f>
        <v>10000000</v>
      </c>
      <c r="D29" s="15">
        <f>C29</f>
        <v>10000000</v>
      </c>
      <c r="E29" s="93">
        <f>C29</f>
        <v>10000000</v>
      </c>
      <c r="F29" s="94">
        <f>D29</f>
        <v>10000000</v>
      </c>
    </row>
    <row r="30" spans="2:6" ht="12.75">
      <c r="B30" t="s">
        <v>7</v>
      </c>
      <c r="C30" s="80">
        <f>-C29</f>
        <v>-10000000</v>
      </c>
      <c r="D30" s="15">
        <f>C30</f>
        <v>-10000000</v>
      </c>
      <c r="E30" s="93">
        <f>C30</f>
        <v>-10000000</v>
      </c>
      <c r="F30" s="94">
        <f>D30</f>
        <v>-10000000</v>
      </c>
    </row>
    <row r="31" spans="2:6" ht="12.75">
      <c r="B31" s="13" t="s">
        <v>31</v>
      </c>
      <c r="C31" s="80"/>
      <c r="D31" s="20" t="s">
        <v>5</v>
      </c>
      <c r="E31" s="93" t="s">
        <v>5</v>
      </c>
      <c r="F31" s="94" t="s">
        <v>5</v>
      </c>
    </row>
    <row r="32" spans="3:6" ht="12.75">
      <c r="C32" s="80"/>
      <c r="D32" s="15"/>
      <c r="E32" s="93" t="s">
        <v>5</v>
      </c>
      <c r="F32" s="94" t="s">
        <v>5</v>
      </c>
    </row>
    <row r="33" spans="1:6" ht="12.75">
      <c r="A33" s="17">
        <f>B9</f>
        <v>36511</v>
      </c>
      <c r="B33" t="s">
        <v>6</v>
      </c>
      <c r="C33" s="80">
        <f>-$B$1</f>
        <v>-10000000</v>
      </c>
      <c r="D33" s="15">
        <f>C33+C29</f>
        <v>0</v>
      </c>
      <c r="E33" s="93">
        <f>C33</f>
        <v>-10000000</v>
      </c>
      <c r="F33" s="94">
        <f>D33</f>
        <v>0</v>
      </c>
    </row>
    <row r="34" spans="2:6" ht="12.75">
      <c r="B34" t="s">
        <v>8</v>
      </c>
      <c r="C34" s="80">
        <f>-C33</f>
        <v>10000000</v>
      </c>
      <c r="D34" s="15">
        <f>C34+C30</f>
        <v>0</v>
      </c>
      <c r="E34" s="93">
        <f>C34</f>
        <v>10000000</v>
      </c>
      <c r="F34" s="94">
        <f>D34</f>
        <v>0</v>
      </c>
    </row>
    <row r="35" spans="2:6" ht="12.75">
      <c r="B35" s="13" t="s">
        <v>32</v>
      </c>
      <c r="C35" s="80"/>
      <c r="D35" s="20" t="s">
        <v>5</v>
      </c>
      <c r="E35" s="93" t="s">
        <v>5</v>
      </c>
      <c r="F35" s="94" t="s">
        <v>5</v>
      </c>
    </row>
    <row r="36" spans="3:6" ht="12.75">
      <c r="C36" s="81"/>
      <c r="D36"/>
      <c r="E36" s="93" t="s">
        <v>5</v>
      </c>
      <c r="F36" s="94" t="s">
        <v>5</v>
      </c>
    </row>
    <row r="37" spans="1:6" ht="12.75">
      <c r="A37" s="17">
        <f>B9</f>
        <v>36511</v>
      </c>
      <c r="B37" t="s">
        <v>6</v>
      </c>
      <c r="C37" s="80">
        <f>-L9</f>
        <v>-500</v>
      </c>
      <c r="D37" s="15">
        <f>C37+D33</f>
        <v>-500</v>
      </c>
      <c r="E37" s="93">
        <f>C37</f>
        <v>-500</v>
      </c>
      <c r="F37" s="94">
        <f>D37</f>
        <v>-500</v>
      </c>
    </row>
    <row r="38" spans="2:6" ht="12.75">
      <c r="B38" t="s">
        <v>107</v>
      </c>
      <c r="C38" s="80">
        <f>-C37</f>
        <v>500</v>
      </c>
      <c r="D38" s="15">
        <f>C38+D34</f>
        <v>500</v>
      </c>
      <c r="E38" s="93">
        <f>C38</f>
        <v>500</v>
      </c>
      <c r="F38" s="94">
        <f>D38</f>
        <v>500</v>
      </c>
    </row>
    <row r="39" spans="2:9" ht="12.75">
      <c r="B39" s="13" t="s">
        <v>57</v>
      </c>
      <c r="C39" s="80"/>
      <c r="D39" s="15"/>
      <c r="E39" s="93" t="s">
        <v>5</v>
      </c>
      <c r="F39" s="94" t="s">
        <v>5</v>
      </c>
      <c r="G39" s="104" t="s">
        <v>73</v>
      </c>
      <c r="H39" s="104" t="s">
        <v>73</v>
      </c>
      <c r="I39" s="104" t="s">
        <v>70</v>
      </c>
    </row>
    <row r="40" spans="1:9" ht="12.75">
      <c r="A40" s="17"/>
      <c r="B40" s="13"/>
      <c r="C40" s="80"/>
      <c r="D40" s="106">
        <f>F40</f>
        <v>36525</v>
      </c>
      <c r="E40" s="93" t="s">
        <v>5</v>
      </c>
      <c r="F40" s="107">
        <f>A41</f>
        <v>36525</v>
      </c>
      <c r="G40" s="104" t="s">
        <v>68</v>
      </c>
      <c r="H40" s="104" t="s">
        <v>69</v>
      </c>
      <c r="I40" s="104" t="s">
        <v>71</v>
      </c>
    </row>
    <row r="41" spans="1:9" ht="12.75">
      <c r="A41" s="17">
        <f>B10</f>
        <v>36525</v>
      </c>
      <c r="B41" t="s">
        <v>6</v>
      </c>
      <c r="C41" s="80">
        <f>-L4</f>
        <v>0</v>
      </c>
      <c r="D41" s="15">
        <f>C41+D37</f>
        <v>-500</v>
      </c>
      <c r="E41" s="93">
        <f>C41</f>
        <v>0</v>
      </c>
      <c r="F41" s="94">
        <f>D41</f>
        <v>-500</v>
      </c>
      <c r="G41" s="104" t="s">
        <v>52</v>
      </c>
      <c r="H41" s="104" t="s">
        <v>52</v>
      </c>
      <c r="I41" s="104" t="s">
        <v>72</v>
      </c>
    </row>
    <row r="42" spans="1:9" ht="12.75">
      <c r="A42" s="17"/>
      <c r="B42" t="s">
        <v>107</v>
      </c>
      <c r="C42" s="80">
        <f>D42-D38</f>
        <v>2250.0000000000186</v>
      </c>
      <c r="D42" s="15">
        <f>M10</f>
        <v>2750.0000000000186</v>
      </c>
      <c r="E42" s="93">
        <f>F42-F38</f>
        <v>2186</v>
      </c>
      <c r="F42" s="94">
        <f>$C$38+SUM(G42:G44)</f>
        <v>2686</v>
      </c>
      <c r="G42" s="69">
        <f>-ROUND(-(((D10-D$9)*$D$1*$G$1)/((1+$F$28)^($D$7-G45))),0)</f>
        <v>494</v>
      </c>
      <c r="H42" s="105">
        <f>ROUND(((A$9-A10)*$G$1*$D$1)/((1+$F$28)^($D$7-G45)),0)</f>
        <v>-987</v>
      </c>
      <c r="I42" s="70">
        <f>-(H42+G42)</f>
        <v>493</v>
      </c>
    </row>
    <row r="43" spans="1:9" ht="12.75">
      <c r="A43" s="17"/>
      <c r="B43" t="s">
        <v>10</v>
      </c>
      <c r="C43" s="80">
        <f>D43</f>
        <v>-3000.0000000000027</v>
      </c>
      <c r="D43" s="15">
        <f>(A$9-A10)*G6*$G$1*$D$1</f>
        <v>-3000.0000000000027</v>
      </c>
      <c r="E43" s="93">
        <f>F43</f>
        <v>-2918</v>
      </c>
      <c r="F43" s="15">
        <f>SUM(H42:H44)</f>
        <v>-2918</v>
      </c>
      <c r="G43" s="69">
        <f>-ROUND(-(((E10-E$9)*$D$1*$G$1)/((1+$F$28)^($E$7-G45))),0)</f>
        <v>973</v>
      </c>
      <c r="H43" s="105">
        <f>ROUND(((A$9-A10)*$G$1*$D$1)/((1+$F$28)^($E$7-G45)),0)</f>
        <v>-973</v>
      </c>
      <c r="I43" s="70">
        <f>-(H43+G43)</f>
        <v>0</v>
      </c>
    </row>
    <row r="44" spans="1:9" ht="12.75">
      <c r="A44" s="17"/>
      <c r="B44" t="s">
        <v>9</v>
      </c>
      <c r="C44" s="80">
        <f>D44</f>
        <v>749.9999999999841</v>
      </c>
      <c r="D44" s="15">
        <f>-SUM(D41:D43)</f>
        <v>749.9999999999841</v>
      </c>
      <c r="E44" s="93">
        <f>F44</f>
        <v>732</v>
      </c>
      <c r="F44" s="94">
        <f>SUM(I42:I44)</f>
        <v>732</v>
      </c>
      <c r="G44" s="69">
        <f>-ROUND(-(((F10-F$9)*$D$1*$G$1)/((1+$F$28)^($F$7-G45))),0)</f>
        <v>719</v>
      </c>
      <c r="H44" s="105">
        <f>ROUND(((A$9-A10)*$G$1*$D$1)/((1+$F$28)^($F$7-G45)),0)</f>
        <v>-958</v>
      </c>
      <c r="I44" s="70">
        <f>-(H44+G44)</f>
        <v>239</v>
      </c>
    </row>
    <row r="45" spans="1:8" ht="12.75">
      <c r="A45" s="17"/>
      <c r="B45" s="13" t="s">
        <v>108</v>
      </c>
      <c r="C45" s="80"/>
      <c r="D45" s="15"/>
      <c r="G45" s="103">
        <f>A41-A$37</f>
        <v>14</v>
      </c>
      <c r="H45" s="13" t="s">
        <v>66</v>
      </c>
    </row>
    <row r="46" spans="1:9" ht="12.75">
      <c r="A46" s="17"/>
      <c r="C46" s="80"/>
      <c r="D46" s="106">
        <f>F46</f>
        <v>36556</v>
      </c>
      <c r="E46" s="93" t="s">
        <v>5</v>
      </c>
      <c r="F46" s="107">
        <f>A47</f>
        <v>36556</v>
      </c>
      <c r="G46" s="104" t="s">
        <v>74</v>
      </c>
      <c r="H46" s="104" t="s">
        <v>75</v>
      </c>
      <c r="I46" s="104" t="s">
        <v>76</v>
      </c>
    </row>
    <row r="47" spans="1:9" ht="12.75">
      <c r="A47" s="17">
        <f>B11</f>
        <v>36556</v>
      </c>
      <c r="B47" t="s">
        <v>6</v>
      </c>
      <c r="C47" s="80">
        <f>-L11</f>
        <v>0</v>
      </c>
      <c r="D47" s="15">
        <f>C47+D41</f>
        <v>-500</v>
      </c>
      <c r="E47" s="93">
        <f>C47</f>
        <v>0</v>
      </c>
      <c r="F47" s="94">
        <f>D47</f>
        <v>-500</v>
      </c>
      <c r="G47" s="104" t="s">
        <v>52</v>
      </c>
      <c r="H47" s="104" t="s">
        <v>52</v>
      </c>
      <c r="I47" s="104" t="s">
        <v>72</v>
      </c>
    </row>
    <row r="48" spans="2:9" ht="12.75">
      <c r="B48" t="s">
        <v>107</v>
      </c>
      <c r="C48" s="80">
        <f>D48-D42</f>
        <v>7999.999999999965</v>
      </c>
      <c r="D48" s="15">
        <f>M11</f>
        <v>10749.999999999984</v>
      </c>
      <c r="E48" s="93">
        <f>F48-F42</f>
        <v>7894</v>
      </c>
      <c r="F48" s="94">
        <f>$C$38+SUM(G48:G50)</f>
        <v>10580</v>
      </c>
      <c r="G48" s="69">
        <f>-ROUND(-(((D11-D$9)*$D$1*$G$1)/((1+$F$28)^($D$7-G51))),0)</f>
        <v>5459</v>
      </c>
      <c r="H48" s="105">
        <f>ROUND(((A$9-A11)*$G$1*$D$1)/((1+$F$28)^($D$7-G51)),0)</f>
        <v>-3474</v>
      </c>
      <c r="I48" s="70">
        <f>-(H48+G48)</f>
        <v>-1985</v>
      </c>
    </row>
    <row r="49" spans="2:9" ht="12.75">
      <c r="B49" t="s">
        <v>10</v>
      </c>
      <c r="C49" s="80">
        <f>D49-D43</f>
        <v>-7499.999999999972</v>
      </c>
      <c r="D49" s="15">
        <f>(A$9-A11)*3*$G$1*D$1</f>
        <v>-10499.999999999975</v>
      </c>
      <c r="E49" s="93">
        <f>F49-F43</f>
        <v>-7348</v>
      </c>
      <c r="F49" s="15">
        <f>SUM(H48:H50)</f>
        <v>-10266</v>
      </c>
      <c r="G49" s="69">
        <f>-ROUND(-(((E11-E$9)*$D$1*$G$1)/((1+$F$28)^($E$7-G51))),0)</f>
        <v>3177</v>
      </c>
      <c r="H49" s="105">
        <f>ROUND(((A$9-A11)*$G$1*$D$1)/((1+$F$28)^($E$7-G51)),0)</f>
        <v>-3422</v>
      </c>
      <c r="I49" s="70">
        <f>-(H49+G49)</f>
        <v>245</v>
      </c>
    </row>
    <row r="50" spans="2:9" ht="12.75">
      <c r="B50" t="s">
        <v>9</v>
      </c>
      <c r="C50" s="80">
        <f>D50-D44</f>
        <v>-499.9999999999932</v>
      </c>
      <c r="D50" s="15">
        <f>-SUM(D47:D49)</f>
        <v>249.9999999999909</v>
      </c>
      <c r="E50" s="93">
        <f>F50-F44</f>
        <v>-546</v>
      </c>
      <c r="F50" s="94">
        <f>SUM(I48:I50)</f>
        <v>186</v>
      </c>
      <c r="G50" s="69">
        <f>-ROUND(-(((F11-F$9)*$D$1*$G$1)/((1+$F$28)^($F$7-G51))),0)</f>
        <v>1444</v>
      </c>
      <c r="H50" s="105">
        <f>ROUND(((A$9-A11)*$G$1*$D$1)/((1+$F$28)^($F$7-G51)),0)</f>
        <v>-3370</v>
      </c>
      <c r="I50" s="70">
        <f>-(H50+G50)</f>
        <v>1926</v>
      </c>
    </row>
    <row r="51" spans="1:8" ht="12.75">
      <c r="A51" s="17"/>
      <c r="B51" s="13" t="s">
        <v>108</v>
      </c>
      <c r="C51" s="80"/>
      <c r="D51" s="15"/>
      <c r="G51" s="103">
        <f>A47-A$37</f>
        <v>45</v>
      </c>
      <c r="H51" s="13" t="s">
        <v>66</v>
      </c>
    </row>
    <row r="52" spans="3:9" ht="12.75">
      <c r="C52" s="80"/>
      <c r="D52" s="106">
        <f>F52</f>
        <v>36585</v>
      </c>
      <c r="E52" s="93" t="s">
        <v>5</v>
      </c>
      <c r="F52" s="107">
        <f>A53</f>
        <v>36585</v>
      </c>
      <c r="G52" s="104" t="s">
        <v>74</v>
      </c>
      <c r="H52" s="104" t="s">
        <v>75</v>
      </c>
      <c r="I52" s="104" t="s">
        <v>76</v>
      </c>
    </row>
    <row r="53" spans="1:9" ht="12.75">
      <c r="A53" s="17">
        <f>B12</f>
        <v>36585</v>
      </c>
      <c r="B53" t="s">
        <v>6</v>
      </c>
      <c r="C53" s="80">
        <f>-L12</f>
        <v>0</v>
      </c>
      <c r="D53" s="15">
        <f>C53+D47</f>
        <v>-500</v>
      </c>
      <c r="E53" s="93">
        <f>C53</f>
        <v>0</v>
      </c>
      <c r="F53" s="94">
        <f>D53</f>
        <v>-500</v>
      </c>
      <c r="G53" s="104" t="s">
        <v>52</v>
      </c>
      <c r="H53" s="104" t="s">
        <v>52</v>
      </c>
      <c r="I53" s="104" t="s">
        <v>72</v>
      </c>
    </row>
    <row r="54" spans="2:9" ht="12.75">
      <c r="B54" t="s">
        <v>107</v>
      </c>
      <c r="C54" s="80">
        <f>D54-D48</f>
        <v>31000.000000000015</v>
      </c>
      <c r="D54" s="15">
        <f>M12</f>
        <v>41750</v>
      </c>
      <c r="E54" s="93">
        <f>F54-F48</f>
        <v>30489</v>
      </c>
      <c r="F54" s="94">
        <f>$C$38+SUM(G54:G56)</f>
        <v>41069</v>
      </c>
      <c r="G54" s="69">
        <f>-ROUND(-(((D12-D$9)*$D$1*$G$1)/((1+$F$28)^($D$7-G57))),0)</f>
        <v>15457</v>
      </c>
      <c r="H54" s="105">
        <f>ROUND(((A$9-A12)*$G$1*$D$1)/((1+$F$28)^($D$7-G57)),0)</f>
        <v>-17451</v>
      </c>
      <c r="I54" s="70">
        <f>-(H54+G54)</f>
        <v>1994</v>
      </c>
    </row>
    <row r="55" spans="2:9" ht="12.75">
      <c r="B55" t="s">
        <v>10</v>
      </c>
      <c r="C55" s="80">
        <f>D55-D49</f>
        <v>-42000.000000000044</v>
      </c>
      <c r="D55" s="15">
        <f>(A$9-A12)*3*$D$1*$G$1</f>
        <v>-52500.000000000015</v>
      </c>
      <c r="E55" s="93">
        <f>F55-F49</f>
        <v>-41305</v>
      </c>
      <c r="F55" s="15">
        <f>SUM(H54:H56)</f>
        <v>-51571</v>
      </c>
      <c r="G55" s="69">
        <f>-ROUND(-(((E12-E$9)*$D$1*$G$1)/((1+$F$28)^($E$7-G57))),0)</f>
        <v>13260</v>
      </c>
      <c r="H55" s="105">
        <f>ROUND(((A$9-A12)*$G$1*$D$1)/((1+$F$28)^($E$7-G57)),0)</f>
        <v>-17189</v>
      </c>
      <c r="I55" s="70">
        <f>-(H55+G55)</f>
        <v>3929</v>
      </c>
    </row>
    <row r="56" spans="2:9" ht="12.75">
      <c r="B56" t="s">
        <v>9</v>
      </c>
      <c r="C56" s="80">
        <f>D56-D50</f>
        <v>11000.000000000024</v>
      </c>
      <c r="D56" s="15">
        <f>-SUM(D53:D55)</f>
        <v>11250.000000000015</v>
      </c>
      <c r="E56" s="93">
        <f>F56-F50</f>
        <v>10816</v>
      </c>
      <c r="F56" s="94">
        <f>SUM(I54:I56)</f>
        <v>11002</v>
      </c>
      <c r="G56" s="69">
        <f>-ROUND(-(((F12-F$9)*$D$1*$G$1)/((1+$F$28)^($F$7-G57))),0)</f>
        <v>11852</v>
      </c>
      <c r="H56" s="105">
        <f>ROUND(((A$9-A12)*$G$1*$D$1)/((1+$F$28)^($F$7-G57)),0)</f>
        <v>-16931</v>
      </c>
      <c r="I56" s="70">
        <f>-(H56+G56)</f>
        <v>5079</v>
      </c>
    </row>
    <row r="57" spans="1:8" ht="12.75">
      <c r="A57" s="17"/>
      <c r="B57" s="13" t="s">
        <v>108</v>
      </c>
      <c r="C57" s="80"/>
      <c r="D57" s="15"/>
      <c r="G57" s="90">
        <f>A53-A$37</f>
        <v>74</v>
      </c>
      <c r="H57" s="13" t="s">
        <v>66</v>
      </c>
    </row>
    <row r="58" spans="2:9" ht="12.75">
      <c r="B58" s="13"/>
      <c r="C58" s="80"/>
      <c r="D58" s="106">
        <f>F58</f>
        <v>36602</v>
      </c>
      <c r="E58" s="93" t="s">
        <v>5</v>
      </c>
      <c r="F58" s="107">
        <f>A59</f>
        <v>36602</v>
      </c>
      <c r="G58" s="104" t="s">
        <v>74</v>
      </c>
      <c r="H58" s="104" t="s">
        <v>75</v>
      </c>
      <c r="I58" s="104" t="s">
        <v>76</v>
      </c>
    </row>
    <row r="59" spans="1:9" ht="12.75">
      <c r="A59" s="17">
        <f>B13</f>
        <v>36602</v>
      </c>
      <c r="B59" t="s">
        <v>6</v>
      </c>
      <c r="C59" s="80">
        <f>-L13</f>
        <v>28499.999999999993</v>
      </c>
      <c r="D59" s="15">
        <f>C59+D53</f>
        <v>27999.999999999993</v>
      </c>
      <c r="E59" s="93">
        <f>C59</f>
        <v>28499.999999999993</v>
      </c>
      <c r="F59" s="94">
        <f>D59</f>
        <v>27999.999999999993</v>
      </c>
      <c r="G59" s="104" t="s">
        <v>52</v>
      </c>
      <c r="H59" s="104" t="s">
        <v>52</v>
      </c>
      <c r="I59" s="104" t="s">
        <v>72</v>
      </c>
    </row>
    <row r="60" spans="2:9" ht="12.75">
      <c r="B60" t="s">
        <v>107</v>
      </c>
      <c r="C60" s="80">
        <f>D60-D54</f>
        <v>8250.000000000007</v>
      </c>
      <c r="D60" s="15">
        <f>M13</f>
        <v>50000.00000000001</v>
      </c>
      <c r="E60" s="93">
        <f>F60-F54</f>
        <v>7837</v>
      </c>
      <c r="F60" s="94">
        <f>$C$38+SUM(G60:G62)</f>
        <v>48906</v>
      </c>
      <c r="G60" s="69">
        <f>-ROUND(-(((D$9-D$9)*$D$1*$G$1)/((1+$F$28)^($D$7-G63))),0)</f>
        <v>0</v>
      </c>
      <c r="H60" s="105">
        <f>ROUND(((A$9-A$9)*$G$1*$D$1)/((1+$F$28)^($D$7-G63)),0)</f>
        <v>0</v>
      </c>
      <c r="I60" s="70">
        <f>-(H60+G60)</f>
        <v>0</v>
      </c>
    </row>
    <row r="61" spans="2:9" ht="12.75">
      <c r="B61" t="s">
        <v>10</v>
      </c>
      <c r="C61" s="80">
        <f>D61-D55</f>
        <v>-10999.999999999964</v>
      </c>
      <c r="D61" s="15">
        <f>(A$9-A13)*2*$D$1*$G$1</f>
        <v>-63499.99999999998</v>
      </c>
      <c r="E61" s="93">
        <f>F61-F55</f>
        <v>-10506</v>
      </c>
      <c r="F61" s="15">
        <f>SUM(H60:H62)</f>
        <v>-62077</v>
      </c>
      <c r="G61" s="69">
        <f>-ROUND(-(((E13-E$9)*$D$1*$G$1)/((1+$F$28)^($E$7-G63))),0)</f>
        <v>25364</v>
      </c>
      <c r="H61" s="105">
        <f>ROUND(((A$9-A13)*$G$1*$D$1)/((1+$F$28)^($E$7-G63)),0)</f>
        <v>-31273</v>
      </c>
      <c r="I61" s="70">
        <f>-(H61+G61)</f>
        <v>5909</v>
      </c>
    </row>
    <row r="62" spans="2:9" ht="12.75">
      <c r="B62" t="s">
        <v>9</v>
      </c>
      <c r="C62" s="80">
        <f>D62-D56</f>
        <v>-25750.000000000036</v>
      </c>
      <c r="D62" s="15">
        <f>-SUM(D59:D61)</f>
        <v>-14500.000000000022</v>
      </c>
      <c r="E62" s="93">
        <f>F62-F56</f>
        <v>-25831</v>
      </c>
      <c r="F62" s="15">
        <f>-SUM(F59:F61)</f>
        <v>-14829</v>
      </c>
      <c r="G62" s="69">
        <f>-ROUND(-(((F13-F$9)*$D$1*$G$1)/((1+$F$28)^($F$7-G63))),0)</f>
        <v>23042</v>
      </c>
      <c r="H62" s="105">
        <f>ROUND(((A$9-A13)*$G$1*$D$1)/((1+$F$28)^($F$7-G63)),0)</f>
        <v>-30804</v>
      </c>
      <c r="I62" s="70">
        <f>-(H62+G62)</f>
        <v>7762</v>
      </c>
    </row>
    <row r="63" spans="1:8" ht="12.75">
      <c r="A63" s="17"/>
      <c r="B63" s="13" t="s">
        <v>108</v>
      </c>
      <c r="C63" s="80"/>
      <c r="D63" s="15"/>
      <c r="G63" s="90">
        <f>A59-A$37</f>
        <v>91</v>
      </c>
      <c r="H63" s="13" t="s">
        <v>66</v>
      </c>
    </row>
    <row r="64" spans="2:6" ht="12.75">
      <c r="B64" s="13"/>
      <c r="C64" s="80"/>
      <c r="D64" s="15"/>
      <c r="E64" s="93" t="s">
        <v>5</v>
      </c>
      <c r="F64" s="94" t="s">
        <v>5</v>
      </c>
    </row>
    <row r="65" spans="1:6" ht="12.75">
      <c r="A65" s="17">
        <f>B13</f>
        <v>36602</v>
      </c>
      <c r="B65" t="s">
        <v>6</v>
      </c>
      <c r="C65" s="80">
        <f>$B$1*I$1/K$1</f>
        <v>200000</v>
      </c>
      <c r="D65" s="15">
        <f>C65+D59</f>
        <v>228000</v>
      </c>
      <c r="E65" s="93">
        <f>C65</f>
        <v>200000</v>
      </c>
      <c r="F65" s="94">
        <f>D65</f>
        <v>228000</v>
      </c>
    </row>
    <row r="66" spans="2:6" ht="12.75">
      <c r="B66" t="s">
        <v>9</v>
      </c>
      <c r="C66" s="80">
        <f>-C65</f>
        <v>-200000</v>
      </c>
      <c r="D66" s="15">
        <f>C66+D62</f>
        <v>-214500.00000000003</v>
      </c>
      <c r="E66" s="93">
        <f>C66</f>
        <v>-200000</v>
      </c>
      <c r="F66" s="94">
        <f>D66</f>
        <v>-214500.00000000003</v>
      </c>
    </row>
    <row r="67" spans="2:6" ht="12.75">
      <c r="B67" s="13" t="s">
        <v>11</v>
      </c>
      <c r="C67" s="80"/>
      <c r="D67" s="15"/>
      <c r="E67" s="95" t="s">
        <v>5</v>
      </c>
      <c r="F67" s="94" t="s">
        <v>5</v>
      </c>
    </row>
    <row r="68" spans="2:6" ht="12.75">
      <c r="B68" s="13"/>
      <c r="C68" s="80"/>
      <c r="D68" s="15"/>
      <c r="E68" s="93" t="s">
        <v>5</v>
      </c>
      <c r="F68" s="94" t="s">
        <v>5</v>
      </c>
    </row>
    <row r="69" spans="1:7" ht="12.75">
      <c r="A69" s="17">
        <f>B13</f>
        <v>36602</v>
      </c>
      <c r="B69" t="s">
        <v>6</v>
      </c>
      <c r="C69" s="80">
        <f>-$B$1*S13*T9</f>
        <v>-145347.22222222222</v>
      </c>
      <c r="D69" s="15">
        <f>C69+D65</f>
        <v>82652.77777777778</v>
      </c>
      <c r="E69" s="93">
        <f>C69</f>
        <v>-145347.22222222222</v>
      </c>
      <c r="F69" s="94">
        <f>D69</f>
        <v>82652.77777777778</v>
      </c>
      <c r="G69" s="14" t="s">
        <v>5</v>
      </c>
    </row>
    <row r="70" spans="2:6" ht="12.75">
      <c r="B70" t="s">
        <v>9</v>
      </c>
      <c r="C70" s="80">
        <f>-C69</f>
        <v>145347.22222222222</v>
      </c>
      <c r="D70" s="15">
        <f>C70+D66</f>
        <v>-69152.77777777781</v>
      </c>
      <c r="E70" s="93">
        <f>C70</f>
        <v>145347.22222222222</v>
      </c>
      <c r="F70" s="94">
        <f>D70</f>
        <v>-69152.77777777781</v>
      </c>
    </row>
    <row r="71" spans="2:6" ht="12.75">
      <c r="B71" s="13" t="s">
        <v>12</v>
      </c>
      <c r="C71" s="80"/>
      <c r="D71" s="15"/>
      <c r="E71" s="93" t="s">
        <v>5</v>
      </c>
      <c r="F71" s="94" t="s">
        <v>5</v>
      </c>
    </row>
    <row r="72" spans="3:9" ht="12.75">
      <c r="C72" s="80"/>
      <c r="D72" s="107">
        <f>F72</f>
        <v>36616</v>
      </c>
      <c r="E72" s="93" t="s">
        <v>5</v>
      </c>
      <c r="F72" s="108">
        <f>A73</f>
        <v>36616</v>
      </c>
      <c r="G72" s="104" t="s">
        <v>74</v>
      </c>
      <c r="H72" s="104" t="s">
        <v>75</v>
      </c>
      <c r="I72" s="104" t="s">
        <v>76</v>
      </c>
    </row>
    <row r="73" spans="1:9" ht="12.75">
      <c r="A73" s="17">
        <f>B14</f>
        <v>36616</v>
      </c>
      <c r="B73" t="s">
        <v>6</v>
      </c>
      <c r="C73" s="80">
        <f>-L34</f>
        <v>0</v>
      </c>
      <c r="D73" s="15">
        <f>C73+D69</f>
        <v>82652.77777777778</v>
      </c>
      <c r="E73" s="93">
        <f>C73</f>
        <v>0</v>
      </c>
      <c r="F73" s="94">
        <f>D73</f>
        <v>82652.77777777778</v>
      </c>
      <c r="G73" s="104" t="s">
        <v>52</v>
      </c>
      <c r="H73" s="104" t="s">
        <v>52</v>
      </c>
      <c r="I73" s="104" t="s">
        <v>72</v>
      </c>
    </row>
    <row r="74" spans="2:9" ht="12.75">
      <c r="B74" t="s">
        <v>107</v>
      </c>
      <c r="C74" s="80">
        <f>D74-D60</f>
        <v>999.9999999999854</v>
      </c>
      <c r="D74" s="15">
        <f>O14</f>
        <v>50999.99999999999</v>
      </c>
      <c r="E74" s="93">
        <f>F74-F60</f>
        <v>1092</v>
      </c>
      <c r="F74" s="94">
        <f>$C$38+SUM(G74:G76)</f>
        <v>49998</v>
      </c>
      <c r="G74" s="69">
        <f>-ROUND(-(((D$9-D$9)*$D$1*$G$1)/((1+$F$28)^($D$7-G77))),0)</f>
        <v>0</v>
      </c>
      <c r="H74" s="105">
        <f>ROUND(((A$9-A$9)*$G$1*$D$1)/((1+$F$28)^($D$7-G77)),0)</f>
        <v>0</v>
      </c>
      <c r="I74" s="70">
        <f>-(H74+G74)</f>
        <v>0</v>
      </c>
    </row>
    <row r="75" spans="2:9" ht="12.75">
      <c r="B75" t="s">
        <v>10</v>
      </c>
      <c r="C75" s="80">
        <f>D75-D61</f>
        <v>-2000</v>
      </c>
      <c r="D75" s="15">
        <f>(A$9-A14)*2*$D$1*$G$1</f>
        <v>-65499.99999999998</v>
      </c>
      <c r="E75" s="93">
        <f>F75-F61</f>
        <v>-2104</v>
      </c>
      <c r="F75" s="15">
        <f>SUM(H74:H76)</f>
        <v>-64181</v>
      </c>
      <c r="G75" s="69">
        <f>-ROUND(-(((E14-E$9)*$D$1*$G$1)/((1+$F$28)^($E$7-G77))),0)</f>
        <v>25916</v>
      </c>
      <c r="H75" s="105">
        <f>ROUND(((A$9-A14)*$G$1*$D$1)/((1+$F$28)^($E$7-G77)),0)</f>
        <v>-32333</v>
      </c>
      <c r="I75" s="70">
        <f>-(H75+G75)</f>
        <v>6417</v>
      </c>
    </row>
    <row r="76" spans="2:9" ht="12.75">
      <c r="B76" t="s">
        <v>9</v>
      </c>
      <c r="C76" s="80">
        <f>D76-D62</f>
        <v>-53652.77777777779</v>
      </c>
      <c r="D76" s="15">
        <f>-SUM(D73:D75)</f>
        <v>-68152.77777777781</v>
      </c>
      <c r="E76" s="93">
        <f>F76-F62</f>
        <v>-53640.77777777778</v>
      </c>
      <c r="F76" s="15">
        <f>-SUM(F73:F75)</f>
        <v>-68469.77777777778</v>
      </c>
      <c r="G76" s="69">
        <f>-ROUND(-(((F14-F$9)*$D$1*$G$1)/((1+$F$28)^($F$7-G77))),0)</f>
        <v>23582</v>
      </c>
      <c r="H76" s="105">
        <f>ROUND(((A$9-A14)*$G$1*$D$1)/((1+$F$28)^($F$7-G77)),0)</f>
        <v>-31848</v>
      </c>
      <c r="I76" s="70">
        <f>-(H76+G76)</f>
        <v>8266</v>
      </c>
    </row>
    <row r="77" spans="1:8" ht="12.75">
      <c r="A77" s="17"/>
      <c r="B77" s="13" t="s">
        <v>108</v>
      </c>
      <c r="C77" s="80"/>
      <c r="D77" s="15"/>
      <c r="G77" s="90">
        <f>A73-A$37</f>
        <v>105</v>
      </c>
      <c r="H77" s="13" t="s">
        <v>66</v>
      </c>
    </row>
    <row r="78" spans="2:9" ht="12.75">
      <c r="B78" s="13"/>
      <c r="C78" s="80"/>
      <c r="D78" s="107">
        <f>F78</f>
        <v>36646</v>
      </c>
      <c r="E78" s="93" t="s">
        <v>5</v>
      </c>
      <c r="F78" s="107">
        <f>A79</f>
        <v>36646</v>
      </c>
      <c r="G78" s="104" t="s">
        <v>74</v>
      </c>
      <c r="H78" s="104" t="s">
        <v>75</v>
      </c>
      <c r="I78" s="104" t="s">
        <v>76</v>
      </c>
    </row>
    <row r="79" spans="1:9" ht="12.75">
      <c r="A79" s="17">
        <f>B15</f>
        <v>36646</v>
      </c>
      <c r="B79" t="s">
        <v>6</v>
      </c>
      <c r="C79" s="80">
        <f>-L15</f>
        <v>0</v>
      </c>
      <c r="D79" s="15">
        <f>C79+D73</f>
        <v>82652.77777777778</v>
      </c>
      <c r="E79" s="93">
        <f>C79</f>
        <v>0</v>
      </c>
      <c r="F79" s="94">
        <f>D79</f>
        <v>82652.77777777778</v>
      </c>
      <c r="G79" s="104" t="s">
        <v>52</v>
      </c>
      <c r="H79" s="104" t="s">
        <v>52</v>
      </c>
      <c r="I79" s="104" t="s">
        <v>72</v>
      </c>
    </row>
    <row r="80" spans="2:9" ht="12.75">
      <c r="B80" t="s">
        <v>107</v>
      </c>
      <c r="C80" s="80">
        <f>D80-D74</f>
        <v>1250.0000000000146</v>
      </c>
      <c r="D80" s="15">
        <f>O15</f>
        <v>52250.00000000001</v>
      </c>
      <c r="E80" s="93">
        <f>F80-F74</f>
        <v>1473</v>
      </c>
      <c r="F80" s="94">
        <f>$C$38+SUM(G80:G82)</f>
        <v>51471</v>
      </c>
      <c r="G80" s="69">
        <f>-ROUND(-(((D$9-D$9)*$D$1*$G$1)/((1+$F$28)^($D$7-G83))),0)</f>
        <v>0</v>
      </c>
      <c r="H80" s="105">
        <f>ROUND(((A$9-A$9)*$G$1*$D$1)/((1+$F$28)^($D$7-G83)),0)</f>
        <v>0</v>
      </c>
      <c r="I80" s="70">
        <f>-(H80+G80)</f>
        <v>0</v>
      </c>
    </row>
    <row r="81" spans="2:9" ht="12.75">
      <c r="B81" t="s">
        <v>10</v>
      </c>
      <c r="C81" s="80">
        <f>D81-D75</f>
        <v>-1500.0000000000218</v>
      </c>
      <c r="D81" s="15">
        <f>(A$9-A15)*2*$D$1*$G$1</f>
        <v>-67000</v>
      </c>
      <c r="E81" s="93">
        <f>F81-F75</f>
        <v>-1794</v>
      </c>
      <c r="F81" s="15">
        <f>SUM(H80:H82)</f>
        <v>-65975</v>
      </c>
      <c r="G81" s="69">
        <f>-ROUND(-(((E15-E$9)*$D$1*$G$1)/((1+$F$28)^($E$7-G83))),0)</f>
        <v>26540</v>
      </c>
      <c r="H81" s="105">
        <f>ROUND(((A$9-A15)*$G$1*$D$1)/((1+$F$28)^($E$7-G83)),0)</f>
        <v>-33237</v>
      </c>
      <c r="I81" s="70">
        <f>-(H81+G81)</f>
        <v>6697</v>
      </c>
    </row>
    <row r="82" spans="2:9" ht="12.75">
      <c r="B82" t="s">
        <v>9</v>
      </c>
      <c r="C82" s="80">
        <f>D82-D76</f>
        <v>250.0000000000291</v>
      </c>
      <c r="D82" s="15">
        <f>-SUM(D79:D81)</f>
        <v>-67902.77777777778</v>
      </c>
      <c r="E82" s="93">
        <f>F82-F76</f>
        <v>321</v>
      </c>
      <c r="F82" s="15">
        <f>-SUM(F79:F81)</f>
        <v>-68148.77777777778</v>
      </c>
      <c r="G82" s="69">
        <f>-ROUND(-(((F15-F$9)*$D$1*$G$1)/((1+$F$28)^($F$7-G83))),0)</f>
        <v>24431</v>
      </c>
      <c r="H82" s="105">
        <f>ROUND(((A$9-A15)*$G$1*$D$1)/((1+$F$28)^($F$7-G83)),0)</f>
        <v>-32738</v>
      </c>
      <c r="I82" s="70">
        <f>-(H82+G82)</f>
        <v>8307</v>
      </c>
    </row>
    <row r="83" spans="1:8" ht="12.75">
      <c r="A83" s="17"/>
      <c r="B83" s="13" t="s">
        <v>108</v>
      </c>
      <c r="C83" s="80"/>
      <c r="D83" s="15"/>
      <c r="G83" s="90">
        <f>A79-A$37</f>
        <v>135</v>
      </c>
      <c r="H83" s="13" t="s">
        <v>66</v>
      </c>
    </row>
    <row r="84" spans="4:6" ht="12.75">
      <c r="D84" s="107">
        <f>F84</f>
        <v>36677</v>
      </c>
      <c r="E84" s="93" t="s">
        <v>5</v>
      </c>
      <c r="F84" s="107">
        <f>A85</f>
        <v>36677</v>
      </c>
    </row>
    <row r="85" spans="1:9" ht="12.75">
      <c r="A85" s="17">
        <f>B16</f>
        <v>36677</v>
      </c>
      <c r="B85" t="s">
        <v>6</v>
      </c>
      <c r="C85" s="80">
        <f>-L21</f>
        <v>0</v>
      </c>
      <c r="D85" s="15">
        <f>C85+D79</f>
        <v>82652.77777777778</v>
      </c>
      <c r="E85" s="93">
        <f>C85</f>
        <v>0</v>
      </c>
      <c r="F85" s="94">
        <f>D85</f>
        <v>82652.77777777778</v>
      </c>
      <c r="G85" s="104" t="s">
        <v>52</v>
      </c>
      <c r="H85" s="104" t="s">
        <v>52</v>
      </c>
      <c r="I85" s="104" t="s">
        <v>72</v>
      </c>
    </row>
    <row r="86" spans="2:9" ht="12.75">
      <c r="B86" t="s">
        <v>107</v>
      </c>
      <c r="C86" s="80">
        <f>D86-D80</f>
        <v>1249.9999999999927</v>
      </c>
      <c r="D86" s="15">
        <f>O16</f>
        <v>53500</v>
      </c>
      <c r="E86" s="93">
        <f>F86-F80</f>
        <v>1496</v>
      </c>
      <c r="F86" s="94">
        <f>$C$38+SUM(G86:G88)</f>
        <v>52967</v>
      </c>
      <c r="G86" s="69">
        <f>-ROUND(-(((D$9-D$9)*$D$1*$G$1)/((1+$F$28)^($D$7-G89))),0)</f>
        <v>0</v>
      </c>
      <c r="H86" s="105">
        <f>ROUND(((A$9-A$9)*$G$1*$D$1)/((1+$F$28)^($D$7-G89)),0)</f>
        <v>0</v>
      </c>
      <c r="I86" s="70">
        <f>-(H86+G86)</f>
        <v>0</v>
      </c>
    </row>
    <row r="87" spans="1:9" ht="12.75">
      <c r="A87" s="17"/>
      <c r="B87" t="s">
        <v>10</v>
      </c>
      <c r="C87" s="80">
        <f>D87-D81</f>
        <v>-1500</v>
      </c>
      <c r="D87" s="15">
        <f>(A$9-A16)*2*$D$1*$G$1</f>
        <v>-68500</v>
      </c>
      <c r="E87" s="93">
        <f>F87-F81</f>
        <v>-1821</v>
      </c>
      <c r="F87" s="15">
        <f>SUM(H86:H88)</f>
        <v>-67796</v>
      </c>
      <c r="G87" s="69">
        <f>-ROUND(-(((E16-E$9)*$D$1*$G$1)/((1+$F$28)^($E$7-G89))),0)</f>
        <v>27174</v>
      </c>
      <c r="H87" s="105">
        <f>ROUND(((A$9-A16)*$G$1*$D$1)/((1+$F$28)^($E$7-G89)),0)</f>
        <v>-34154</v>
      </c>
      <c r="I87" s="70">
        <f>-(H87+G87)</f>
        <v>6980</v>
      </c>
    </row>
    <row r="88" spans="1:9" ht="12.75">
      <c r="A88" s="17"/>
      <c r="B88" t="s">
        <v>9</v>
      </c>
      <c r="C88" s="80">
        <f>D88-D82</f>
        <v>250</v>
      </c>
      <c r="D88" s="15">
        <f>-SUM(D85:D87)</f>
        <v>-67652.77777777778</v>
      </c>
      <c r="E88" s="93">
        <f>F88-F82</f>
        <v>325</v>
      </c>
      <c r="F88" s="15">
        <f>-SUM(F85:F87)</f>
        <v>-67823.77777777778</v>
      </c>
      <c r="G88" s="69">
        <f>-ROUND(-(((F16-F$9)*$D$1*$G$1)/((1+$F$28)^($F$7-G89))),0)</f>
        <v>25293</v>
      </c>
      <c r="H88" s="105">
        <f>ROUND(((A$9-A16)*$G$1*$D$1)/((1+$F$28)^($F$7-G89)),0)</f>
        <v>-33642</v>
      </c>
      <c r="I88" s="70">
        <f>-(H88+G88)</f>
        <v>8349</v>
      </c>
    </row>
    <row r="89" spans="1:8" ht="12.75">
      <c r="A89" s="17"/>
      <c r="B89" s="13" t="s">
        <v>108</v>
      </c>
      <c r="C89" s="80"/>
      <c r="D89" s="15"/>
      <c r="G89" s="90">
        <f>A85-A$37</f>
        <v>166</v>
      </c>
      <c r="H89" s="13" t="s">
        <v>66</v>
      </c>
    </row>
    <row r="90" spans="1:6" ht="12.75">
      <c r="A90" s="17"/>
      <c r="B90" s="13"/>
      <c r="C90" s="80"/>
      <c r="D90" s="107">
        <f>F90</f>
        <v>36694</v>
      </c>
      <c r="E90" s="93" t="s">
        <v>77</v>
      </c>
      <c r="F90" s="107">
        <f>A91</f>
        <v>36694</v>
      </c>
    </row>
    <row r="91" spans="1:9" ht="12.75">
      <c r="A91" s="17">
        <f>B17</f>
        <v>36694</v>
      </c>
      <c r="B91" t="s">
        <v>6</v>
      </c>
      <c r="C91" s="80">
        <f>-N17</f>
        <v>28750.000000000007</v>
      </c>
      <c r="D91" s="15">
        <f>C91+D85</f>
        <v>111402.77777777778</v>
      </c>
      <c r="E91" s="93">
        <f>C91</f>
        <v>28750.000000000007</v>
      </c>
      <c r="F91" s="94">
        <f>D91</f>
        <v>111402.77777777778</v>
      </c>
      <c r="G91" s="104" t="s">
        <v>52</v>
      </c>
      <c r="H91" s="104" t="s">
        <v>52</v>
      </c>
      <c r="I91" s="104" t="s">
        <v>72</v>
      </c>
    </row>
    <row r="92" spans="1:9" ht="12.75">
      <c r="A92" s="17"/>
      <c r="B92" t="s">
        <v>107</v>
      </c>
      <c r="C92" s="80">
        <f>D92-D86</f>
        <v>-26750.000000000007</v>
      </c>
      <c r="D92" s="15">
        <f>Q17</f>
        <v>26749.999999999993</v>
      </c>
      <c r="E92" s="93">
        <f>F92-F86</f>
        <v>-26611</v>
      </c>
      <c r="F92" s="94">
        <f>$C$38+SUM(G92:G94)</f>
        <v>26356</v>
      </c>
      <c r="G92" s="69">
        <f>-ROUND(-(((D$9-D$9)*$D$1*$G$1)/((1+$F$28)^($D$7-G95))),0)</f>
        <v>0</v>
      </c>
      <c r="H92" s="105">
        <f>ROUND(((A$9-A$9)*$G$1*$D$1)/((1+$F$28)^($D$7-G95)),0)</f>
        <v>0</v>
      </c>
      <c r="I92" s="70">
        <f>-(H92+G92)</f>
        <v>0</v>
      </c>
    </row>
    <row r="93" spans="1:9" ht="12.75">
      <c r="A93" s="17"/>
      <c r="B93" t="s">
        <v>10</v>
      </c>
      <c r="C93" s="80">
        <f>D93-D87</f>
        <v>32249.999999999993</v>
      </c>
      <c r="D93" s="15">
        <f>(A$9-A17)*1*$D$1*$G$1</f>
        <v>-36250.00000000001</v>
      </c>
      <c r="E93" s="93">
        <f>F93-F87</f>
        <v>32090</v>
      </c>
      <c r="F93" s="15">
        <f>SUM(H92:H94)</f>
        <v>-35706</v>
      </c>
      <c r="G93" s="69">
        <f>-ROUND(-(((E$9-E$9)*$D$1*$G$1)/((1+$F$28)^($E$7-G95))),0)</f>
        <v>0</v>
      </c>
      <c r="H93" s="105">
        <f>ROUND(((A$9-A$9)*$G$1*$D$1)/((1+$F$28)^($E$7-G95)),0)</f>
        <v>0</v>
      </c>
      <c r="I93" s="70">
        <f>-(H93+G93)</f>
        <v>0</v>
      </c>
    </row>
    <row r="94" spans="1:9" ht="12.75">
      <c r="A94" s="17"/>
      <c r="B94" t="s">
        <v>9</v>
      </c>
      <c r="C94" s="80">
        <f>D94-D88</f>
        <v>-34250</v>
      </c>
      <c r="D94" s="15">
        <f>-SUM(D91:D93)</f>
        <v>-101902.77777777778</v>
      </c>
      <c r="E94" s="93">
        <f>F94-F88</f>
        <v>-34229</v>
      </c>
      <c r="F94" s="15">
        <f>-SUM(F91:F93)</f>
        <v>-102052.77777777778</v>
      </c>
      <c r="G94" s="69">
        <f>-ROUND(-(((F17-F$9)*$D$1*$G$1)/((1+$F$28)^($F$7-G95))),0)</f>
        <v>25856</v>
      </c>
      <c r="H94" s="105">
        <f>ROUND(((A$9-A17)*$G$1*$D$1)/((1+$F$28)^($F$7-G95)),0)</f>
        <v>-35706</v>
      </c>
      <c r="I94" s="70">
        <f>-(H94+G94)</f>
        <v>9850</v>
      </c>
    </row>
    <row r="95" spans="1:8" ht="12.75">
      <c r="A95" s="17"/>
      <c r="B95" s="13" t="s">
        <v>108</v>
      </c>
      <c r="C95" s="80"/>
      <c r="D95" s="15"/>
      <c r="G95" s="90">
        <f>A91-A$37</f>
        <v>183</v>
      </c>
      <c r="H95" s="13" t="s">
        <v>66</v>
      </c>
    </row>
    <row r="96" spans="1:6" ht="12.75">
      <c r="A96" s="17"/>
      <c r="B96" s="13"/>
      <c r="C96" s="80"/>
      <c r="D96" s="15"/>
      <c r="E96" s="93" t="s">
        <v>5</v>
      </c>
      <c r="F96" s="94" t="s">
        <v>5</v>
      </c>
    </row>
    <row r="97" spans="1:6" ht="12.75">
      <c r="A97" s="17">
        <f>B17</f>
        <v>36694</v>
      </c>
      <c r="B97" t="s">
        <v>6</v>
      </c>
      <c r="C97" s="80">
        <f>$B$1*I$1/K$1</f>
        <v>200000</v>
      </c>
      <c r="D97" s="15">
        <f>C97+D91</f>
        <v>311402.77777777775</v>
      </c>
      <c r="E97" s="93">
        <f>C97</f>
        <v>200000</v>
      </c>
      <c r="F97" s="94">
        <f>D97</f>
        <v>311402.77777777775</v>
      </c>
    </row>
    <row r="98" spans="1:6" ht="12.75">
      <c r="A98" s="17"/>
      <c r="B98" t="s">
        <v>9</v>
      </c>
      <c r="C98" s="80">
        <f>-C97</f>
        <v>-200000</v>
      </c>
      <c r="D98" s="15">
        <f>C98+D94</f>
        <v>-301902.77777777775</v>
      </c>
      <c r="E98" s="93">
        <f>C98</f>
        <v>-200000</v>
      </c>
      <c r="F98" s="94">
        <f>D98</f>
        <v>-301902.77777777775</v>
      </c>
    </row>
    <row r="99" spans="1:6" ht="12.75">
      <c r="A99" s="17"/>
      <c r="B99" s="13" t="s">
        <v>11</v>
      </c>
      <c r="C99" s="80"/>
      <c r="D99" s="15"/>
      <c r="E99" s="93" t="s">
        <v>5</v>
      </c>
      <c r="F99" s="94" t="s">
        <v>5</v>
      </c>
    </row>
    <row r="100" spans="1:6" ht="12.75">
      <c r="A100" s="17"/>
      <c r="B100" s="13"/>
      <c r="C100" s="80"/>
      <c r="D100" s="15"/>
      <c r="E100" s="93" t="s">
        <v>5</v>
      </c>
      <c r="F100" s="94" t="s">
        <v>5</v>
      </c>
    </row>
    <row r="101" spans="1:7" ht="12.75">
      <c r="A101" s="17">
        <f>B17</f>
        <v>36694</v>
      </c>
      <c r="B101" t="s">
        <v>6</v>
      </c>
      <c r="C101" s="80">
        <f>-$B$1*S17*T13</f>
        <v>-177450</v>
      </c>
      <c r="D101" s="15">
        <f>C101+D97</f>
        <v>133952.77777777775</v>
      </c>
      <c r="E101" s="93">
        <f>C101</f>
        <v>-177450</v>
      </c>
      <c r="F101" s="94">
        <f>D101</f>
        <v>133952.77777777775</v>
      </c>
      <c r="G101" s="14" t="s">
        <v>5</v>
      </c>
    </row>
    <row r="102" spans="1:6" ht="12.75">
      <c r="A102" s="17"/>
      <c r="B102" t="s">
        <v>9</v>
      </c>
      <c r="C102" s="80">
        <f>-C101</f>
        <v>177450</v>
      </c>
      <c r="D102" s="15">
        <f>C102+D98</f>
        <v>-124452.77777777775</v>
      </c>
      <c r="E102" s="93">
        <f>C102</f>
        <v>177450</v>
      </c>
      <c r="F102" s="94">
        <f>D102</f>
        <v>-124452.77777777775</v>
      </c>
    </row>
    <row r="103" spans="1:6" ht="12.75">
      <c r="A103" s="17"/>
      <c r="B103" s="13" t="s">
        <v>12</v>
      </c>
      <c r="C103" s="80"/>
      <c r="D103" s="15"/>
      <c r="E103" s="93" t="s">
        <v>5</v>
      </c>
      <c r="F103" s="94" t="s">
        <v>5</v>
      </c>
    </row>
    <row r="104" spans="1:6" ht="12.75">
      <c r="A104" s="17"/>
      <c r="D104" s="107">
        <f>F104</f>
        <v>36707</v>
      </c>
      <c r="E104" s="93" t="s">
        <v>77</v>
      </c>
      <c r="F104" s="107">
        <f>A105</f>
        <v>36707</v>
      </c>
    </row>
    <row r="105" spans="1:9" ht="12.75">
      <c r="A105" s="17">
        <f>B18</f>
        <v>36707</v>
      </c>
      <c r="B105" t="s">
        <v>6</v>
      </c>
      <c r="C105" s="80">
        <f>-L41</f>
        <v>0</v>
      </c>
      <c r="D105" s="15">
        <f>D101+C105</f>
        <v>133952.77777777775</v>
      </c>
      <c r="E105" s="93">
        <f>C105</f>
        <v>0</v>
      </c>
      <c r="F105" s="94">
        <f>D105</f>
        <v>133952.77777777775</v>
      </c>
      <c r="G105" s="104" t="s">
        <v>52</v>
      </c>
      <c r="H105" s="104" t="s">
        <v>52</v>
      </c>
      <c r="I105" s="104" t="s">
        <v>72</v>
      </c>
    </row>
    <row r="106" spans="1:9" ht="12.75">
      <c r="A106" s="17"/>
      <c r="B106" t="s">
        <v>107</v>
      </c>
      <c r="C106" s="80">
        <f>D106-D92</f>
        <v>750.0000000000073</v>
      </c>
      <c r="D106" s="15">
        <f>Q18</f>
        <v>27500</v>
      </c>
      <c r="E106" s="93">
        <f>F106-F92</f>
        <v>796</v>
      </c>
      <c r="F106" s="94">
        <f>$C$38+SUM(G106:G108)</f>
        <v>27152</v>
      </c>
      <c r="G106" s="69">
        <f>-ROUND(-(((D$9-D$9)*$D$1*$G$1)/((1+$F$28)^($D$7-G109))),0)</f>
        <v>0</v>
      </c>
      <c r="H106" s="105">
        <f>ROUND(((A$9-A$9)*$G$1*$D$1)/((1+$F$28)^($D$7-G109)),0)</f>
        <v>0</v>
      </c>
      <c r="I106" s="70">
        <f>-(H106+G106)</f>
        <v>0</v>
      </c>
    </row>
    <row r="107" spans="1:9" ht="12.75">
      <c r="A107" s="17"/>
      <c r="B107" t="s">
        <v>10</v>
      </c>
      <c r="C107" s="80">
        <f>D107-D93</f>
        <v>-499.99999999998545</v>
      </c>
      <c r="D107" s="15">
        <f>(A$9-A18)*1*$D$1*$G$1</f>
        <v>-36749.99999999999</v>
      </c>
      <c r="E107" s="93">
        <f>F107-F93</f>
        <v>-570</v>
      </c>
      <c r="F107" s="15">
        <f>SUM(H106:H108)</f>
        <v>-36276</v>
      </c>
      <c r="G107" s="69">
        <f>-ROUND(-(((E$9-E$9)*$D$1*$G$1)/((1+$F$28)^($E$7-G109))),0)</f>
        <v>0</v>
      </c>
      <c r="H107" s="105">
        <f>ROUND(((A$9-A$9)*$G$1*$D$1)/((1+$F$28)^($E$7-G109)),0)</f>
        <v>0</v>
      </c>
      <c r="I107" s="70">
        <f>-(H107+G107)</f>
        <v>0</v>
      </c>
    </row>
    <row r="108" spans="1:9" ht="12.75">
      <c r="A108" s="17"/>
      <c r="B108" t="s">
        <v>9</v>
      </c>
      <c r="C108" s="80">
        <f>D108-D102</f>
        <v>-250</v>
      </c>
      <c r="D108" s="15">
        <f>-SUM(D105:D107)</f>
        <v>-124702.77777777775</v>
      </c>
      <c r="E108" s="93">
        <f>F108-F102</f>
        <v>-376</v>
      </c>
      <c r="F108" s="15">
        <f>-SUM(F105:F107)</f>
        <v>-124828.77777777775</v>
      </c>
      <c r="G108" s="69">
        <f>-ROUND(-(((F18-F$9)*$D$1*$G$1)/((1+$F$28)^($F$7-G109))),0)</f>
        <v>26652</v>
      </c>
      <c r="H108" s="105">
        <f>ROUND(((A$9-A18)*$G$1*$D$1)/((1+$F$28)^($F$7-G109)),0)</f>
        <v>-36276</v>
      </c>
      <c r="I108" s="70">
        <f>-(H108+G108)</f>
        <v>9624</v>
      </c>
    </row>
    <row r="109" spans="1:8" ht="12.75">
      <c r="A109" s="17"/>
      <c r="B109" s="13" t="s">
        <v>108</v>
      </c>
      <c r="C109" s="80"/>
      <c r="D109" s="15"/>
      <c r="G109" s="90">
        <f>A105-A$37</f>
        <v>196</v>
      </c>
      <c r="H109" s="13" t="s">
        <v>66</v>
      </c>
    </row>
    <row r="110" spans="1:6" ht="12.75">
      <c r="A110" s="17"/>
      <c r="B110" s="13"/>
      <c r="C110" s="80"/>
      <c r="D110" s="107">
        <f>F110</f>
        <v>36738</v>
      </c>
      <c r="E110" s="93" t="s">
        <v>77</v>
      </c>
      <c r="F110" s="107">
        <f>A111</f>
        <v>36738</v>
      </c>
    </row>
    <row r="111" spans="1:9" ht="12.75">
      <c r="A111" s="17">
        <f>B19</f>
        <v>36738</v>
      </c>
      <c r="B111" t="s">
        <v>6</v>
      </c>
      <c r="C111" s="80">
        <f>-N19</f>
        <v>0</v>
      </c>
      <c r="D111" s="15">
        <f>C111+D105</f>
        <v>133952.77777777775</v>
      </c>
      <c r="E111" s="93">
        <f>C111</f>
        <v>0</v>
      </c>
      <c r="F111" s="94">
        <f>D111</f>
        <v>133952.77777777775</v>
      </c>
      <c r="G111" s="104" t="s">
        <v>52</v>
      </c>
      <c r="H111" s="104" t="s">
        <v>52</v>
      </c>
      <c r="I111" s="104" t="s">
        <v>72</v>
      </c>
    </row>
    <row r="112" spans="1:9" ht="12.75">
      <c r="A112" s="17"/>
      <c r="B112" t="s">
        <v>107</v>
      </c>
      <c r="C112" s="80">
        <f>D112-D106</f>
        <v>499.9999999999927</v>
      </c>
      <c r="D112" s="15">
        <f>Q19</f>
        <v>27999.999999999993</v>
      </c>
      <c r="E112" s="93">
        <f>F112-F106</f>
        <v>632</v>
      </c>
      <c r="F112" s="94">
        <f>$C$38+SUM(G112:G114)</f>
        <v>27784</v>
      </c>
      <c r="G112" s="69">
        <f>-ROUND(-(((D$9-D$9)*$D$1*$G$1)/((1+$F$28)^($D$7-G115))),0)</f>
        <v>0</v>
      </c>
      <c r="H112" s="105">
        <f>ROUND(((A$9-A$9)*$G$1*$D$1)/((1+$F$28)^($D$7-G115)),0)</f>
        <v>0</v>
      </c>
      <c r="I112" s="70">
        <f>-(H112+G112)</f>
        <v>0</v>
      </c>
    </row>
    <row r="113" spans="1:9" ht="12.75">
      <c r="A113" s="17"/>
      <c r="B113" t="s">
        <v>10</v>
      </c>
      <c r="C113" s="80">
        <f>D113-D107</f>
        <v>-750.0000000000073</v>
      </c>
      <c r="D113" s="15">
        <f>(A$9-A19)*1*$D$1*$G$1</f>
        <v>-37500</v>
      </c>
      <c r="E113" s="93">
        <f>F113-F107</f>
        <v>-929</v>
      </c>
      <c r="F113" s="15">
        <f>SUM(H112:H114)</f>
        <v>-37205</v>
      </c>
      <c r="G113" s="69">
        <f>-ROUND(-(((E$9-E$9)*$D$1*$G$1)/((1+$F$28)^($E$7-G115))),0)</f>
        <v>0</v>
      </c>
      <c r="H113" s="105">
        <f>ROUND(((A$9-A$9)*$G$1*$D$1)/((1+$F$28)^($E$7-G115)),0)</f>
        <v>0</v>
      </c>
      <c r="I113" s="70">
        <f>-(H113+G113)</f>
        <v>0</v>
      </c>
    </row>
    <row r="114" spans="1:9" ht="12.75">
      <c r="A114" s="17"/>
      <c r="B114" t="s">
        <v>9</v>
      </c>
      <c r="C114" s="80">
        <f>D114-D108</f>
        <v>250</v>
      </c>
      <c r="D114" s="15">
        <f>-SUM(D111:D113)</f>
        <v>-124452.77777777775</v>
      </c>
      <c r="E114" s="93">
        <f>F114-F108</f>
        <v>297</v>
      </c>
      <c r="F114" s="15">
        <f>-SUM(F111:F113)</f>
        <v>-124531.77777777775</v>
      </c>
      <c r="G114" s="69">
        <f>-ROUND(-(((F19-F$9)*$D$1*$G$1)/((1+$F$28)^($F$7-G115))),0)</f>
        <v>27284</v>
      </c>
      <c r="H114" s="105">
        <f>ROUND(((A$9-A19)*$G$1*$D$1)/((1+$F$28)^($F$7-G115)),0)</f>
        <v>-37205</v>
      </c>
      <c r="I114" s="70">
        <f>-(H114+G114)</f>
        <v>9921</v>
      </c>
    </row>
    <row r="115" spans="1:8" ht="12.75">
      <c r="A115" s="17"/>
      <c r="B115" s="13" t="s">
        <v>108</v>
      </c>
      <c r="C115" s="80"/>
      <c r="D115" s="15"/>
      <c r="G115" s="90">
        <f>A111-A$37</f>
        <v>227</v>
      </c>
      <c r="H115" s="13" t="s">
        <v>66</v>
      </c>
    </row>
    <row r="116" spans="1:6" ht="12.75">
      <c r="A116" s="17"/>
      <c r="C116" s="80"/>
      <c r="D116" s="107">
        <f>F116</f>
        <v>36769</v>
      </c>
      <c r="E116" s="93" t="s">
        <v>77</v>
      </c>
      <c r="F116" s="107">
        <f>A117</f>
        <v>36769</v>
      </c>
    </row>
    <row r="117" spans="1:9" ht="12.75">
      <c r="A117" s="17">
        <f>B20</f>
        <v>36769</v>
      </c>
      <c r="B117" t="s">
        <v>6</v>
      </c>
      <c r="C117" s="80">
        <f>-N25</f>
        <v>0</v>
      </c>
      <c r="D117" s="15">
        <f>C117+D111</f>
        <v>133952.77777777775</v>
      </c>
      <c r="E117" s="93">
        <f>C117</f>
        <v>0</v>
      </c>
      <c r="F117" s="94">
        <f>D117</f>
        <v>133952.77777777775</v>
      </c>
      <c r="G117" s="104" t="s">
        <v>52</v>
      </c>
      <c r="H117" s="104" t="s">
        <v>52</v>
      </c>
      <c r="I117" s="104" t="s">
        <v>72</v>
      </c>
    </row>
    <row r="118" spans="1:9" ht="12.75">
      <c r="A118" s="17"/>
      <c r="B118" t="s">
        <v>107</v>
      </c>
      <c r="C118" s="80">
        <f>D118-D112</f>
        <v>750.0000000000036</v>
      </c>
      <c r="D118" s="15">
        <f>Q20</f>
        <v>28749.999999999996</v>
      </c>
      <c r="E118" s="93">
        <f>F118-F112</f>
        <v>887</v>
      </c>
      <c r="F118" s="94">
        <f>$C$38+SUM(G118:G120)</f>
        <v>28671</v>
      </c>
      <c r="G118" s="69">
        <f>-ROUND(-(((D$9-D$9)*$D$1*$G$1)/((1+$F$28)^($D$7-G121))),0)</f>
        <v>0</v>
      </c>
      <c r="H118" s="105">
        <f>ROUND(((A$9-A$9)*$G$1*$D$1)/((1+$F$28)^($D$7-G121)),0)</f>
        <v>0</v>
      </c>
      <c r="I118" s="70">
        <f>-(H118+G118)</f>
        <v>0</v>
      </c>
    </row>
    <row r="119" spans="1:9" ht="12.75">
      <c r="A119" s="17"/>
      <c r="B119" t="s">
        <v>10</v>
      </c>
      <c r="C119" s="80">
        <f>D119-D113</f>
        <v>-499.9999999999927</v>
      </c>
      <c r="D119" s="15">
        <f>(A$9-A20)*1*$D$1*$G$1</f>
        <v>-37999.99999999999</v>
      </c>
      <c r="E119" s="93">
        <f>F119-F113</f>
        <v>-689</v>
      </c>
      <c r="F119" s="15">
        <f>SUM(H118:H120)</f>
        <v>-37894</v>
      </c>
      <c r="G119" s="69">
        <f>-ROUND(-(((E$9-E$9)*$D$1*$G$1)/((1+$F$28)^($E$7-G121))),0)</f>
        <v>0</v>
      </c>
      <c r="H119" s="105">
        <f>ROUND(((A$9-A$9)*$G$1*$D$1)/((1+$F$28)^($E$7-G121)),0)</f>
        <v>0</v>
      </c>
      <c r="I119" s="70">
        <f>-(H119+G119)</f>
        <v>0</v>
      </c>
    </row>
    <row r="120" spans="1:9" ht="12.75">
      <c r="A120" s="17"/>
      <c r="B120" t="s">
        <v>9</v>
      </c>
      <c r="C120" s="80">
        <f>D120-D114</f>
        <v>-250</v>
      </c>
      <c r="D120" s="15">
        <f>-SUM(D117:D119)</f>
        <v>-124702.77777777775</v>
      </c>
      <c r="E120" s="93">
        <f>F120-F114</f>
        <v>-198</v>
      </c>
      <c r="F120" s="15">
        <f>-SUM(F117:F119)</f>
        <v>-124729.77777777775</v>
      </c>
      <c r="G120" s="69">
        <f>-ROUND(-(((F20-F$9)*$D$1*$G$1)/((1+$F$28)^($F$7-G121))),0)</f>
        <v>28171</v>
      </c>
      <c r="H120" s="105">
        <f>ROUND(((A$9-A20)*$G$1*$D$1)/((1+$F$28)^($F$7-G121)),0)</f>
        <v>-37894</v>
      </c>
      <c r="I120" s="70">
        <f>-(H120+G120)</f>
        <v>9723</v>
      </c>
    </row>
    <row r="121" spans="1:8" ht="12.75">
      <c r="A121" s="17"/>
      <c r="B121" s="13" t="s">
        <v>108</v>
      </c>
      <c r="C121" s="80"/>
      <c r="D121" s="15"/>
      <c r="G121" s="90">
        <f>A117-A$37</f>
        <v>258</v>
      </c>
      <c r="H121" s="13" t="s">
        <v>66</v>
      </c>
    </row>
    <row r="122" spans="1:6" ht="12.75">
      <c r="A122" s="17"/>
      <c r="C122" s="82"/>
      <c r="D122" s="107">
        <f>F122</f>
        <v>36786</v>
      </c>
      <c r="E122" s="93" t="s">
        <v>77</v>
      </c>
      <c r="F122" s="107">
        <f>A123</f>
        <v>36786</v>
      </c>
    </row>
    <row r="123" spans="1:6" ht="12.75">
      <c r="A123" s="17">
        <f>B21</f>
        <v>36786</v>
      </c>
      <c r="B123" t="s">
        <v>6</v>
      </c>
      <c r="C123" s="80">
        <f>-P21</f>
        <v>28999.999999999993</v>
      </c>
      <c r="D123" s="15">
        <f>C123+D117</f>
        <v>162952.77777777775</v>
      </c>
      <c r="E123" s="93">
        <f aca="true" t="shared" si="12" ref="E123:F126">C123</f>
        <v>28999.999999999993</v>
      </c>
      <c r="F123" s="94">
        <f t="shared" si="12"/>
        <v>162952.77777777775</v>
      </c>
    </row>
    <row r="124" spans="1:6" ht="12.75">
      <c r="A124" s="17"/>
      <c r="B124" t="s">
        <v>107</v>
      </c>
      <c r="C124" s="80">
        <f>D124-D118</f>
        <v>-28749.999999999996</v>
      </c>
      <c r="D124" s="15">
        <f>Q21</f>
        <v>0</v>
      </c>
      <c r="E124" s="93">
        <f t="shared" si="12"/>
        <v>-28749.999999999996</v>
      </c>
      <c r="F124" s="94">
        <f t="shared" si="12"/>
        <v>0</v>
      </c>
    </row>
    <row r="125" spans="1:6" ht="12.75">
      <c r="A125" s="17"/>
      <c r="B125" t="s">
        <v>10</v>
      </c>
      <c r="C125" s="80">
        <f>D125-D119</f>
        <v>37999.99999999999</v>
      </c>
      <c r="D125" s="15">
        <v>0</v>
      </c>
      <c r="E125" s="93">
        <f t="shared" si="12"/>
        <v>37999.99999999999</v>
      </c>
      <c r="F125" s="94">
        <f t="shared" si="12"/>
        <v>0</v>
      </c>
    </row>
    <row r="126" spans="1:6" ht="12.75">
      <c r="A126" s="17"/>
      <c r="B126" t="s">
        <v>9</v>
      </c>
      <c r="C126" s="80">
        <f>D126-D120</f>
        <v>-38250</v>
      </c>
      <c r="D126" s="15">
        <f>-SUM(D123:D125)</f>
        <v>-162952.77777777775</v>
      </c>
      <c r="E126" s="93">
        <f t="shared" si="12"/>
        <v>-38250</v>
      </c>
      <c r="F126" s="94">
        <f t="shared" si="12"/>
        <v>-162952.77777777775</v>
      </c>
    </row>
    <row r="127" spans="1:6" ht="12.75">
      <c r="A127" s="17"/>
      <c r="B127" s="13" t="s">
        <v>109</v>
      </c>
      <c r="C127" s="80"/>
      <c r="D127" s="15"/>
      <c r="E127" s="95" t="s">
        <v>5</v>
      </c>
      <c r="F127" s="94" t="s">
        <v>5</v>
      </c>
    </row>
    <row r="128" spans="1:6" ht="12.75">
      <c r="A128" s="17"/>
      <c r="C128" s="82"/>
      <c r="D128" s="107">
        <f>F128</f>
        <v>36786</v>
      </c>
      <c r="E128" s="93" t="s">
        <v>77</v>
      </c>
      <c r="F128" s="107">
        <f>A129</f>
        <v>36786</v>
      </c>
    </row>
    <row r="129" spans="1:6" ht="12.75">
      <c r="A129" s="17">
        <f>B21</f>
        <v>36786</v>
      </c>
      <c r="B129" t="s">
        <v>6</v>
      </c>
      <c r="C129" s="80">
        <f>$B$1*I$1/K$1</f>
        <v>200000</v>
      </c>
      <c r="D129" s="15">
        <f>C129+D123</f>
        <v>362952.77777777775</v>
      </c>
      <c r="E129" s="93">
        <f>C129</f>
        <v>200000</v>
      </c>
      <c r="F129" s="94">
        <f>D129</f>
        <v>362952.77777777775</v>
      </c>
    </row>
    <row r="130" spans="1:6" ht="12.75">
      <c r="A130" s="17"/>
      <c r="B130" t="s">
        <v>9</v>
      </c>
      <c r="C130" s="80">
        <f>-C129</f>
        <v>-200000</v>
      </c>
      <c r="D130" s="15">
        <f>C130+D126</f>
        <v>-362952.77777777775</v>
      </c>
      <c r="E130" s="93">
        <f>C130</f>
        <v>-200000</v>
      </c>
      <c r="F130" s="94">
        <f>D130</f>
        <v>-362952.77777777775</v>
      </c>
    </row>
    <row r="131" spans="1:6" ht="12.75">
      <c r="A131" s="17"/>
      <c r="B131" s="13" t="s">
        <v>11</v>
      </c>
      <c r="C131" s="80"/>
      <c r="D131" s="15"/>
      <c r="E131" s="93" t="s">
        <v>5</v>
      </c>
      <c r="F131" s="94" t="s">
        <v>5</v>
      </c>
    </row>
    <row r="132" spans="1:6" ht="12.75">
      <c r="A132" s="17"/>
      <c r="C132" s="82"/>
      <c r="D132" s="107">
        <f>F132</f>
        <v>36786</v>
      </c>
      <c r="E132" s="93" t="s">
        <v>77</v>
      </c>
      <c r="F132" s="107">
        <f>A133</f>
        <v>36786</v>
      </c>
    </row>
    <row r="133" spans="1:6" ht="12.75">
      <c r="A133" s="17">
        <f>B21</f>
        <v>36786</v>
      </c>
      <c r="B133" t="s">
        <v>6</v>
      </c>
      <c r="C133" s="80">
        <f>-$B$1*S21*T9</f>
        <v>-182000.00000000003</v>
      </c>
      <c r="D133" s="15">
        <f>C133+D129</f>
        <v>180952.77777777772</v>
      </c>
      <c r="E133" s="93">
        <f>C133</f>
        <v>-182000.00000000003</v>
      </c>
      <c r="F133" s="94">
        <f>D133</f>
        <v>180952.77777777772</v>
      </c>
    </row>
    <row r="134" spans="1:6" ht="12.75">
      <c r="A134" s="17"/>
      <c r="B134" t="s">
        <v>9</v>
      </c>
      <c r="C134" s="80">
        <f>-C133</f>
        <v>182000.00000000003</v>
      </c>
      <c r="D134" s="15">
        <f>C134+D130</f>
        <v>-180952.77777777772</v>
      </c>
      <c r="E134" s="93">
        <f>C134</f>
        <v>182000.00000000003</v>
      </c>
      <c r="F134" s="94">
        <f>D134</f>
        <v>-180952.77777777772</v>
      </c>
    </row>
    <row r="135" spans="1:6" ht="12.75">
      <c r="A135" s="17" t="s">
        <v>5</v>
      </c>
      <c r="B135" s="13" t="s">
        <v>12</v>
      </c>
      <c r="C135" s="80"/>
      <c r="D135" s="15"/>
      <c r="E135" s="93" t="s">
        <v>5</v>
      </c>
      <c r="F135" s="94" t="s">
        <v>5</v>
      </c>
    </row>
    <row r="136" spans="1:6" ht="12.75">
      <c r="A136" s="17"/>
      <c r="C136" s="82"/>
      <c r="D136" s="107">
        <f>F136</f>
        <v>36799</v>
      </c>
      <c r="E136" s="93" t="s">
        <v>77</v>
      </c>
      <c r="F136" s="107">
        <f>A137</f>
        <v>36799</v>
      </c>
    </row>
    <row r="137" spans="1:6" ht="12.75">
      <c r="A137" s="17">
        <f>B22</f>
        <v>36799</v>
      </c>
      <c r="B137" t="s">
        <v>6</v>
      </c>
      <c r="C137" s="80">
        <f>-P22</f>
        <v>0</v>
      </c>
      <c r="D137" s="15">
        <f>C137+D133</f>
        <v>180952.77777777772</v>
      </c>
      <c r="E137" s="93">
        <f aca="true" t="shared" si="13" ref="E137:F140">C137</f>
        <v>0</v>
      </c>
      <c r="F137" s="94">
        <f t="shared" si="13"/>
        <v>180952.77777777772</v>
      </c>
    </row>
    <row r="138" spans="1:6" ht="12.75">
      <c r="A138" s="17" t="s">
        <v>5</v>
      </c>
      <c r="B138" t="s">
        <v>107</v>
      </c>
      <c r="C138" s="80">
        <f>D138-D124</f>
        <v>0</v>
      </c>
      <c r="D138" s="15">
        <f>Q22</f>
        <v>0</v>
      </c>
      <c r="E138" s="93">
        <f t="shared" si="13"/>
        <v>0</v>
      </c>
      <c r="F138" s="94">
        <f t="shared" si="13"/>
        <v>0</v>
      </c>
    </row>
    <row r="139" spans="1:6" ht="12.75">
      <c r="A139" s="17"/>
      <c r="B139" t="s">
        <v>10</v>
      </c>
      <c r="C139" s="80">
        <f>-C138</f>
        <v>0</v>
      </c>
      <c r="D139" s="15">
        <f>C139+D125</f>
        <v>0</v>
      </c>
      <c r="E139" s="93">
        <f t="shared" si="13"/>
        <v>0</v>
      </c>
      <c r="F139" s="94">
        <f t="shared" si="13"/>
        <v>0</v>
      </c>
    </row>
    <row r="140" spans="1:6" ht="12.75">
      <c r="A140" s="17"/>
      <c r="B140" t="s">
        <v>9</v>
      </c>
      <c r="C140" s="80">
        <f>P22</f>
        <v>0</v>
      </c>
      <c r="D140" s="15">
        <f>C140+D134</f>
        <v>-180952.77777777772</v>
      </c>
      <c r="E140" s="93">
        <f t="shared" si="13"/>
        <v>0</v>
      </c>
      <c r="F140" s="94">
        <f t="shared" si="13"/>
        <v>-180952.77777777772</v>
      </c>
    </row>
    <row r="141" spans="1:6" ht="12.75">
      <c r="A141" s="17"/>
      <c r="B141" s="13" t="s">
        <v>109</v>
      </c>
      <c r="C141" s="80"/>
      <c r="D141" s="15"/>
      <c r="E141" s="95" t="s">
        <v>5</v>
      </c>
      <c r="F141" s="94" t="s">
        <v>5</v>
      </c>
    </row>
    <row r="142" spans="1:6" ht="12.75">
      <c r="A142" s="17"/>
      <c r="C142" s="82"/>
      <c r="D142" s="107">
        <f>F142</f>
        <v>36830</v>
      </c>
      <c r="E142" s="93" t="s">
        <v>77</v>
      </c>
      <c r="F142" s="107">
        <f>A143</f>
        <v>36830</v>
      </c>
    </row>
    <row r="143" spans="1:6" ht="12.75">
      <c r="A143" s="17">
        <f>B23</f>
        <v>36830</v>
      </c>
      <c r="B143" t="s">
        <v>6</v>
      </c>
      <c r="C143" s="80">
        <f>-P23</f>
        <v>0</v>
      </c>
      <c r="D143" s="15">
        <f>C143+D137</f>
        <v>180952.77777777772</v>
      </c>
      <c r="E143" s="93">
        <f aca="true" t="shared" si="14" ref="E143:F146">C143</f>
        <v>0</v>
      </c>
      <c r="F143" s="94">
        <f t="shared" si="14"/>
        <v>180952.77777777772</v>
      </c>
    </row>
    <row r="144" spans="1:6" ht="12.75">
      <c r="A144" s="17"/>
      <c r="B144" t="s">
        <v>107</v>
      </c>
      <c r="C144" s="80">
        <f>D144-D138</f>
        <v>0</v>
      </c>
      <c r="D144" s="15">
        <f>Q23</f>
        <v>0</v>
      </c>
      <c r="E144" s="93">
        <f t="shared" si="14"/>
        <v>0</v>
      </c>
      <c r="F144" s="94">
        <f t="shared" si="14"/>
        <v>0</v>
      </c>
    </row>
    <row r="145" spans="1:6" ht="12.75">
      <c r="A145" s="17"/>
      <c r="B145" t="s">
        <v>10</v>
      </c>
      <c r="C145" s="80">
        <f>-C144</f>
        <v>0</v>
      </c>
      <c r="D145" s="15">
        <f>C145+D139</f>
        <v>0</v>
      </c>
      <c r="E145" s="93">
        <f t="shared" si="14"/>
        <v>0</v>
      </c>
      <c r="F145" s="94">
        <f t="shared" si="14"/>
        <v>0</v>
      </c>
    </row>
    <row r="146" spans="1:6" ht="12.75">
      <c r="A146" s="17"/>
      <c r="B146" t="s">
        <v>9</v>
      </c>
      <c r="C146" s="80">
        <f>P23</f>
        <v>0</v>
      </c>
      <c r="D146" s="15">
        <f>C146+D140</f>
        <v>-180952.77777777772</v>
      </c>
      <c r="E146" s="93">
        <f t="shared" si="14"/>
        <v>0</v>
      </c>
      <c r="F146" s="94">
        <f t="shared" si="14"/>
        <v>-180952.77777777772</v>
      </c>
    </row>
    <row r="147" spans="1:6" ht="12.75">
      <c r="A147" s="17"/>
      <c r="B147" s="13" t="s">
        <v>109</v>
      </c>
      <c r="C147" s="80"/>
      <c r="D147" s="15"/>
      <c r="E147" s="95" t="s">
        <v>5</v>
      </c>
      <c r="F147" s="94" t="s">
        <v>5</v>
      </c>
    </row>
    <row r="148" spans="1:6" ht="12.75">
      <c r="A148" s="17"/>
      <c r="C148" s="82"/>
      <c r="D148" s="107">
        <f>F148</f>
        <v>36860</v>
      </c>
      <c r="E148" s="93" t="s">
        <v>77</v>
      </c>
      <c r="F148" s="107">
        <f>A149</f>
        <v>36860</v>
      </c>
    </row>
    <row r="149" spans="1:6" ht="12.75">
      <c r="A149" s="17">
        <f>B24</f>
        <v>36860</v>
      </c>
      <c r="B149" t="s">
        <v>6</v>
      </c>
      <c r="C149" s="80">
        <f>-P24</f>
        <v>0</v>
      </c>
      <c r="D149" s="15">
        <f>C149+D143</f>
        <v>180952.77777777772</v>
      </c>
      <c r="E149" s="93">
        <f aca="true" t="shared" si="15" ref="E149:F152">C149</f>
        <v>0</v>
      </c>
      <c r="F149" s="94">
        <f t="shared" si="15"/>
        <v>180952.77777777772</v>
      </c>
    </row>
    <row r="150" spans="1:6" ht="12.75">
      <c r="A150" s="17"/>
      <c r="B150" t="s">
        <v>107</v>
      </c>
      <c r="C150" s="80">
        <f>D150-D144</f>
        <v>0</v>
      </c>
      <c r="D150" s="15">
        <f>Q24</f>
        <v>0</v>
      </c>
      <c r="E150" s="93">
        <f t="shared" si="15"/>
        <v>0</v>
      </c>
      <c r="F150" s="94">
        <f t="shared" si="15"/>
        <v>0</v>
      </c>
    </row>
    <row r="151" spans="1:6" ht="12.75">
      <c r="A151" s="17"/>
      <c r="B151" t="s">
        <v>10</v>
      </c>
      <c r="C151" s="80">
        <f>-C150</f>
        <v>0</v>
      </c>
      <c r="D151" s="15">
        <f>C151+D145</f>
        <v>0</v>
      </c>
      <c r="E151" s="93">
        <f t="shared" si="15"/>
        <v>0</v>
      </c>
      <c r="F151" s="94">
        <f t="shared" si="15"/>
        <v>0</v>
      </c>
    </row>
    <row r="152" spans="1:6" ht="12.75">
      <c r="A152" s="17"/>
      <c r="B152" t="s">
        <v>9</v>
      </c>
      <c r="C152" s="80">
        <f>P24</f>
        <v>0</v>
      </c>
      <c r="D152" s="15">
        <f>C152+D146</f>
        <v>-180952.77777777772</v>
      </c>
      <c r="E152" s="93">
        <f t="shared" si="15"/>
        <v>0</v>
      </c>
      <c r="F152" s="94">
        <f t="shared" si="15"/>
        <v>-180952.77777777772</v>
      </c>
    </row>
    <row r="153" spans="1:6" ht="12.75">
      <c r="A153" s="17"/>
      <c r="B153" s="13" t="s">
        <v>110</v>
      </c>
      <c r="C153" s="80"/>
      <c r="D153" s="15"/>
      <c r="E153" s="95" t="s">
        <v>5</v>
      </c>
      <c r="F153" s="94" t="s">
        <v>5</v>
      </c>
    </row>
    <row r="154" spans="1:6" ht="12.75">
      <c r="A154" s="17"/>
      <c r="C154" s="82"/>
      <c r="D154" s="107">
        <f>F154</f>
        <v>36877</v>
      </c>
      <c r="E154" s="93" t="s">
        <v>77</v>
      </c>
      <c r="F154" s="107">
        <f>A155</f>
        <v>36877</v>
      </c>
    </row>
    <row r="155" spans="1:6" ht="12.75">
      <c r="A155" s="17">
        <f>B25</f>
        <v>36877</v>
      </c>
      <c r="B155" t="s">
        <v>6</v>
      </c>
      <c r="C155" s="80">
        <f>-P25</f>
        <v>0</v>
      </c>
      <c r="D155" s="15">
        <f>C155+D149</f>
        <v>180952.77777777772</v>
      </c>
      <c r="E155" s="93">
        <f aca="true" t="shared" si="16" ref="E155:F158">C155</f>
        <v>0</v>
      </c>
      <c r="F155" s="94">
        <f t="shared" si="16"/>
        <v>180952.77777777772</v>
      </c>
    </row>
    <row r="156" spans="1:6" ht="12.75">
      <c r="A156" s="17"/>
      <c r="B156" t="s">
        <v>107</v>
      </c>
      <c r="C156" s="80">
        <f>D156-D150</f>
        <v>0</v>
      </c>
      <c r="D156" s="15">
        <f>Q25</f>
        <v>0</v>
      </c>
      <c r="E156" s="93">
        <f t="shared" si="16"/>
        <v>0</v>
      </c>
      <c r="F156" s="94">
        <f t="shared" si="16"/>
        <v>0</v>
      </c>
    </row>
    <row r="157" spans="1:6" ht="12.75">
      <c r="A157" s="17"/>
      <c r="B157" t="s">
        <v>10</v>
      </c>
      <c r="C157" s="80">
        <f>-C156</f>
        <v>0</v>
      </c>
      <c r="D157" s="15">
        <f>C157+D151</f>
        <v>0</v>
      </c>
      <c r="E157" s="93">
        <f t="shared" si="16"/>
        <v>0</v>
      </c>
      <c r="F157" s="94">
        <f t="shared" si="16"/>
        <v>0</v>
      </c>
    </row>
    <row r="158" spans="1:6" ht="12.75">
      <c r="A158" s="17"/>
      <c r="B158" t="s">
        <v>9</v>
      </c>
      <c r="C158" s="80">
        <f>P25</f>
        <v>0</v>
      </c>
      <c r="D158" s="15">
        <f>C158+D152</f>
        <v>-180952.77777777772</v>
      </c>
      <c r="E158" s="93">
        <f t="shared" si="16"/>
        <v>0</v>
      </c>
      <c r="F158" s="94">
        <f t="shared" si="16"/>
        <v>-180952.77777777772</v>
      </c>
    </row>
    <row r="159" spans="1:6" ht="12.75">
      <c r="A159" s="17"/>
      <c r="B159" s="13" t="s">
        <v>110</v>
      </c>
      <c r="C159" s="80"/>
      <c r="D159" s="15"/>
      <c r="E159" s="95" t="s">
        <v>5</v>
      </c>
      <c r="F159" s="94" t="s">
        <v>5</v>
      </c>
    </row>
    <row r="160" spans="1:6" ht="12.75">
      <c r="A160" s="17"/>
      <c r="C160" s="82"/>
      <c r="D160" s="107">
        <f>F160</f>
        <v>36877</v>
      </c>
      <c r="E160" s="93" t="s">
        <v>77</v>
      </c>
      <c r="F160" s="107">
        <f>A161</f>
        <v>36877</v>
      </c>
    </row>
    <row r="161" spans="1:6" ht="12.75">
      <c r="A161" s="17">
        <f>B25</f>
        <v>36877</v>
      </c>
      <c r="B161" t="s">
        <v>6</v>
      </c>
      <c r="C161" s="80">
        <f>$B$1*I$1/K$1</f>
        <v>200000</v>
      </c>
      <c r="D161" s="15">
        <f>C161+D155</f>
        <v>380952.77777777775</v>
      </c>
      <c r="E161" s="93">
        <f aca="true" t="shared" si="17" ref="E161:E178">C161</f>
        <v>200000</v>
      </c>
      <c r="F161" s="94">
        <f aca="true" t="shared" si="18" ref="F161:F178">D161</f>
        <v>380952.77777777775</v>
      </c>
    </row>
    <row r="162" spans="1:6" ht="12.75">
      <c r="A162" s="17"/>
      <c r="B162" t="s">
        <v>9</v>
      </c>
      <c r="C162" s="80">
        <f>-C161</f>
        <v>-200000</v>
      </c>
      <c r="D162" s="15">
        <f>C162+D158</f>
        <v>-380952.77777777775</v>
      </c>
      <c r="E162" s="93">
        <f t="shared" si="17"/>
        <v>-200000</v>
      </c>
      <c r="F162" s="94">
        <f t="shared" si="18"/>
        <v>-380952.77777777775</v>
      </c>
    </row>
    <row r="163" spans="1:6" ht="12.75">
      <c r="A163" s="17"/>
      <c r="B163" s="13" t="s">
        <v>11</v>
      </c>
      <c r="C163" s="80"/>
      <c r="D163" s="15"/>
      <c r="E163" s="93">
        <f t="shared" si="17"/>
        <v>0</v>
      </c>
      <c r="F163" s="94">
        <f t="shared" si="18"/>
        <v>0</v>
      </c>
    </row>
    <row r="164" spans="1:6" ht="12.75">
      <c r="A164" s="17"/>
      <c r="C164" s="82"/>
      <c r="D164" s="107">
        <f>F164</f>
        <v>36877</v>
      </c>
      <c r="E164" s="93" t="s">
        <v>77</v>
      </c>
      <c r="F164" s="107">
        <f>A165</f>
        <v>36877</v>
      </c>
    </row>
    <row r="165" spans="1:7" ht="12.75">
      <c r="A165" s="17">
        <f>B25</f>
        <v>36877</v>
      </c>
      <c r="B165" t="s">
        <v>6</v>
      </c>
      <c r="C165" s="80">
        <f>-$B$1*S25*T9</f>
        <v>-184780.55555555556</v>
      </c>
      <c r="D165" s="15">
        <f>C165+D161</f>
        <v>196172.2222222222</v>
      </c>
      <c r="E165" s="93">
        <f t="shared" si="17"/>
        <v>-184780.55555555556</v>
      </c>
      <c r="F165" s="94">
        <f t="shared" si="18"/>
        <v>196172.2222222222</v>
      </c>
      <c r="G165" s="14" t="s">
        <v>5</v>
      </c>
    </row>
    <row r="166" spans="1:6" ht="12.75">
      <c r="A166" s="17"/>
      <c r="B166" t="s">
        <v>9</v>
      </c>
      <c r="C166" s="80">
        <f>-C165</f>
        <v>184780.55555555556</v>
      </c>
      <c r="D166" s="15">
        <f>C166+D162</f>
        <v>-196172.2222222222</v>
      </c>
      <c r="E166" s="93">
        <f t="shared" si="17"/>
        <v>184780.55555555556</v>
      </c>
      <c r="F166" s="94">
        <f t="shared" si="18"/>
        <v>-196172.2222222222</v>
      </c>
    </row>
    <row r="167" spans="1:6" ht="12.75">
      <c r="A167" s="17" t="s">
        <v>5</v>
      </c>
      <c r="B167" s="13" t="s">
        <v>12</v>
      </c>
      <c r="C167" s="80"/>
      <c r="D167" s="15"/>
      <c r="E167" s="93" t="s">
        <v>5</v>
      </c>
      <c r="F167" s="94" t="s">
        <v>5</v>
      </c>
    </row>
    <row r="168" spans="1:6" ht="12.75">
      <c r="A168" s="17"/>
      <c r="C168" s="82"/>
      <c r="D168" s="107">
        <f>F168</f>
        <v>36877</v>
      </c>
      <c r="E168" s="93" t="s">
        <v>77</v>
      </c>
      <c r="F168" s="107">
        <f>A169</f>
        <v>36877</v>
      </c>
    </row>
    <row r="169" spans="1:6" ht="12.75">
      <c r="A169" s="17">
        <f>B25</f>
        <v>36877</v>
      </c>
      <c r="B169" t="s">
        <v>6</v>
      </c>
      <c r="C169" s="80">
        <f>B1</f>
        <v>10000000</v>
      </c>
      <c r="D169" s="15">
        <f>C169+D165</f>
        <v>10196172.222222222</v>
      </c>
      <c r="E169" s="93">
        <f t="shared" si="17"/>
        <v>10000000</v>
      </c>
      <c r="F169" s="94">
        <f t="shared" si="18"/>
        <v>10196172.222222222</v>
      </c>
    </row>
    <row r="170" spans="1:6" ht="12.75">
      <c r="A170" s="17"/>
      <c r="B170" t="s">
        <v>53</v>
      </c>
      <c r="C170" s="80">
        <f>-B1</f>
        <v>-10000000</v>
      </c>
      <c r="D170" s="15">
        <f>B1+C170</f>
        <v>0</v>
      </c>
      <c r="E170" s="93">
        <f t="shared" si="17"/>
        <v>-10000000</v>
      </c>
      <c r="F170" s="94">
        <f t="shared" si="18"/>
        <v>0</v>
      </c>
    </row>
    <row r="171" spans="1:6" ht="12.75">
      <c r="A171" s="17"/>
      <c r="B171" s="13" t="s">
        <v>54</v>
      </c>
      <c r="C171" s="80"/>
      <c r="D171" s="15"/>
      <c r="E171" s="93" t="s">
        <v>5</v>
      </c>
      <c r="F171" s="94" t="s">
        <v>5</v>
      </c>
    </row>
    <row r="172" spans="1:6" ht="12.75">
      <c r="A172" s="17"/>
      <c r="C172" s="82"/>
      <c r="D172" s="107">
        <f>F172</f>
        <v>36877</v>
      </c>
      <c r="E172" s="93" t="s">
        <v>77</v>
      </c>
      <c r="F172" s="107">
        <f>A173</f>
        <v>36877</v>
      </c>
    </row>
    <row r="173" spans="1:6" ht="12.75">
      <c r="A173" s="17">
        <f>B25</f>
        <v>36877</v>
      </c>
      <c r="B173" t="s">
        <v>6</v>
      </c>
      <c r="C173" s="80">
        <f>-B1</f>
        <v>-10000000</v>
      </c>
      <c r="D173" s="15">
        <f>C173+D169</f>
        <v>196172.22222222202</v>
      </c>
      <c r="E173" s="93">
        <f t="shared" si="17"/>
        <v>-10000000</v>
      </c>
      <c r="F173" s="94">
        <f t="shared" si="18"/>
        <v>196172.22222222202</v>
      </c>
    </row>
    <row r="174" spans="1:6" ht="12.75">
      <c r="A174" s="17"/>
      <c r="B174" t="s">
        <v>7</v>
      </c>
      <c r="C174" s="80">
        <f>B1</f>
        <v>10000000</v>
      </c>
      <c r="D174" s="15">
        <f>B1-C174</f>
        <v>0</v>
      </c>
      <c r="E174" s="93">
        <f t="shared" si="17"/>
        <v>10000000</v>
      </c>
      <c r="F174" s="94">
        <f t="shared" si="18"/>
        <v>0</v>
      </c>
    </row>
    <row r="175" spans="1:6" ht="12.75">
      <c r="A175" s="17"/>
      <c r="B175" s="13" t="s">
        <v>55</v>
      </c>
      <c r="C175" s="80"/>
      <c r="D175" s="15"/>
      <c r="E175" s="93" t="s">
        <v>5</v>
      </c>
      <c r="F175" s="94" t="s">
        <v>5</v>
      </c>
    </row>
    <row r="176" spans="1:6" ht="12.75">
      <c r="A176" s="17"/>
      <c r="B176" s="13"/>
      <c r="C176" s="80"/>
      <c r="D176" s="15"/>
      <c r="E176" s="93" t="s">
        <v>5</v>
      </c>
      <c r="F176" s="94" t="s">
        <v>5</v>
      </c>
    </row>
    <row r="177" spans="1:6" ht="12.75">
      <c r="A177" s="17">
        <v>36525</v>
      </c>
      <c r="B177" t="s">
        <v>9</v>
      </c>
      <c r="C177" s="80">
        <f>-D166</f>
        <v>196172.2222222222</v>
      </c>
      <c r="D177" s="15">
        <f>C177+D166</f>
        <v>0</v>
      </c>
      <c r="E177" s="93">
        <f t="shared" si="17"/>
        <v>196172.2222222222</v>
      </c>
      <c r="F177" s="94">
        <f t="shared" si="18"/>
        <v>0</v>
      </c>
    </row>
    <row r="178" spans="1:6" ht="12.75">
      <c r="A178" s="17"/>
      <c r="B178" t="s">
        <v>13</v>
      </c>
      <c r="C178" s="80">
        <f>-C177</f>
        <v>-196172.2222222222</v>
      </c>
      <c r="D178" s="15">
        <f>C178</f>
        <v>-196172.2222222222</v>
      </c>
      <c r="E178" s="93">
        <f t="shared" si="17"/>
        <v>-196172.2222222222</v>
      </c>
      <c r="F178" s="94">
        <f t="shared" si="18"/>
        <v>-196172.2222222222</v>
      </c>
    </row>
    <row r="179" spans="1:6" ht="12.75">
      <c r="A179" s="17"/>
      <c r="B179" s="13" t="s">
        <v>48</v>
      </c>
      <c r="C179" s="83"/>
      <c r="D179" s="84"/>
      <c r="E179" s="96"/>
      <c r="F179" s="97"/>
    </row>
    <row r="180" spans="1:4" ht="12.75">
      <c r="A180" s="17"/>
      <c r="D180"/>
    </row>
    <row r="181" spans="1:5" ht="12.75">
      <c r="A181" s="17" t="s">
        <v>22</v>
      </c>
      <c r="B181" s="17" t="s">
        <v>22</v>
      </c>
      <c r="C181" s="17" t="s">
        <v>22</v>
      </c>
      <c r="D181" s="17" t="s">
        <v>22</v>
      </c>
      <c r="E181" s="17" t="s">
        <v>22</v>
      </c>
    </row>
    <row r="182" spans="1:4" ht="12.75">
      <c r="A182" s="17"/>
      <c r="D182"/>
    </row>
    <row r="183" spans="1:8" ht="12.75">
      <c r="A183" s="17"/>
      <c r="B183" t="s">
        <v>23</v>
      </c>
      <c r="D183" s="48"/>
      <c r="E183" s="51">
        <f>C65+C97+C129+C161</f>
        <v>800000</v>
      </c>
      <c r="F183" s="20">
        <f>E183/B$1</f>
        <v>0.08</v>
      </c>
      <c r="H183" s="47" t="s">
        <v>5</v>
      </c>
    </row>
    <row r="184" spans="1:5" ht="12.75">
      <c r="A184" s="17"/>
      <c r="B184" t="s">
        <v>24</v>
      </c>
      <c r="D184" s="48"/>
      <c r="E184" s="51"/>
    </row>
    <row r="185" spans="1:5" ht="12.75">
      <c r="A185" s="17"/>
      <c r="B185" t="s">
        <v>25</v>
      </c>
      <c r="C185" s="16">
        <f>B13</f>
        <v>36602</v>
      </c>
      <c r="D185" s="48">
        <f>-C69</f>
        <v>145347.22222222222</v>
      </c>
      <c r="E185" s="51"/>
    </row>
    <row r="186" spans="1:5" ht="12.75">
      <c r="A186" s="17"/>
      <c r="C186" s="16">
        <f>B17</f>
        <v>36694</v>
      </c>
      <c r="D186" s="48">
        <f>-C101</f>
        <v>177450</v>
      </c>
      <c r="E186" s="51"/>
    </row>
    <row r="187" spans="1:5" ht="12.75">
      <c r="A187" s="17"/>
      <c r="C187" s="16">
        <f>B21</f>
        <v>36786</v>
      </c>
      <c r="D187" s="48">
        <f>-C133</f>
        <v>182000.00000000003</v>
      </c>
      <c r="E187" s="51"/>
    </row>
    <row r="188" spans="1:8" ht="13.5" thickBot="1">
      <c r="A188" s="17"/>
      <c r="C188" s="16">
        <f>B25</f>
        <v>36877</v>
      </c>
      <c r="D188" s="48">
        <f>-C165</f>
        <v>184780.55555555556</v>
      </c>
      <c r="E188" s="98">
        <f>SUM(D185:D188)</f>
        <v>689577.7777777778</v>
      </c>
      <c r="F188" s="99">
        <f>-E188/B$1</f>
        <v>-0.06895777777777777</v>
      </c>
      <c r="G188" s="50">
        <f>-F188</f>
        <v>0.06895777777777777</v>
      </c>
      <c r="H188" t="s">
        <v>30</v>
      </c>
    </row>
    <row r="189" spans="1:6" ht="12.75">
      <c r="A189" s="17"/>
      <c r="B189" t="s">
        <v>26</v>
      </c>
      <c r="C189" s="16"/>
      <c r="D189" s="48"/>
      <c r="E189" s="51">
        <f>E183-E188</f>
        <v>110422.22222222225</v>
      </c>
      <c r="F189" s="20">
        <f>E189/B$1</f>
        <v>0.011042222222222224</v>
      </c>
    </row>
    <row r="190" spans="1:5" ht="12.75">
      <c r="A190" s="17"/>
      <c r="B190" t="s">
        <v>27</v>
      </c>
      <c r="C190" s="16"/>
      <c r="D190" s="51"/>
      <c r="E190" s="51"/>
    </row>
    <row r="191" spans="1:5" ht="12.75">
      <c r="A191" s="17"/>
      <c r="C191" s="16">
        <f>B13</f>
        <v>36602</v>
      </c>
      <c r="D191" s="51">
        <f>C59</f>
        <v>28499.999999999993</v>
      </c>
      <c r="E191" s="51"/>
    </row>
    <row r="192" spans="1:5" ht="12.75">
      <c r="A192" s="17"/>
      <c r="C192" s="16">
        <f>B17</f>
        <v>36694</v>
      </c>
      <c r="D192" s="51">
        <f>C91</f>
        <v>28750.000000000007</v>
      </c>
      <c r="E192" s="51"/>
    </row>
    <row r="193" spans="1:8" ht="12.75">
      <c r="A193" s="17"/>
      <c r="C193" s="16">
        <f>B21</f>
        <v>36786</v>
      </c>
      <c r="D193" s="51">
        <f>C123-(SUM(L9:L12)+SUM(N14:N16)+SUM(P18:P20))</f>
        <v>28499.999999999993</v>
      </c>
      <c r="E193" s="51"/>
      <c r="G193" s="50">
        <f>D$6</f>
        <v>0.06117871117109307</v>
      </c>
      <c r="H193" s="13" t="s">
        <v>28</v>
      </c>
    </row>
    <row r="194" spans="1:8" ht="13.5" thickBot="1">
      <c r="A194" s="17"/>
      <c r="C194" s="16">
        <f>B25</f>
        <v>36877</v>
      </c>
      <c r="D194" s="51">
        <f>C155</f>
        <v>0</v>
      </c>
      <c r="E194" s="51">
        <f>SUM(D191:D194)</f>
        <v>85750</v>
      </c>
      <c r="F194" s="20">
        <f>E194/B$1</f>
        <v>0.008575</v>
      </c>
      <c r="G194" s="50">
        <f>-F188-F194</f>
        <v>0.06038277777777777</v>
      </c>
      <c r="H194" s="13" t="s">
        <v>29</v>
      </c>
    </row>
    <row r="195" spans="1:6" ht="13.5" thickBot="1">
      <c r="A195" s="17"/>
      <c r="B195" t="s">
        <v>34</v>
      </c>
      <c r="C195" s="16"/>
      <c r="D195" s="51"/>
      <c r="E195" s="100">
        <f>E189+E194</f>
        <v>196172.22222222225</v>
      </c>
      <c r="F195" s="101">
        <f>E195/B$1</f>
        <v>0.019617222222222223</v>
      </c>
    </row>
    <row r="196" spans="1:10" ht="12.75">
      <c r="A196" s="17"/>
      <c r="C196" s="16"/>
      <c r="H196" t="s">
        <v>40</v>
      </c>
      <c r="I196" t="s">
        <v>41</v>
      </c>
      <c r="J196" s="12" t="s">
        <v>42</v>
      </c>
    </row>
    <row r="197" spans="1:10" ht="13.5" thickBot="1">
      <c r="A197" s="17"/>
      <c r="B197" t="s">
        <v>35</v>
      </c>
      <c r="C197" s="16"/>
      <c r="D197" s="53">
        <f>I1</f>
        <v>0.08</v>
      </c>
      <c r="E197" s="51">
        <f>E183</f>
        <v>800000</v>
      </c>
      <c r="F197" s="53">
        <v>0.08</v>
      </c>
      <c r="G197" s="48" t="s">
        <v>5</v>
      </c>
      <c r="H197" s="163">
        <f>E183</f>
        <v>800000</v>
      </c>
      <c r="I197" s="48">
        <f>I197/$B$2</f>
        <v>0</v>
      </c>
      <c r="J197" s="50">
        <f>I197/$B$1</f>
        <v>0</v>
      </c>
    </row>
    <row r="198" spans="1:10" ht="13.5" thickBot="1">
      <c r="A198" s="17"/>
      <c r="B198" t="s">
        <v>36</v>
      </c>
      <c r="C198" s="16"/>
      <c r="D198" s="20">
        <f>G193</f>
        <v>0.06117871117109307</v>
      </c>
      <c r="E198" s="51">
        <f>D198*B1</f>
        <v>611787.1117109307</v>
      </c>
      <c r="F198" s="20">
        <f>F6</f>
        <v>0.06021321448458029</v>
      </c>
      <c r="G198" s="48" t="s">
        <v>5</v>
      </c>
      <c r="H198" s="164">
        <f>E188-E194</f>
        <v>603827.7777777778</v>
      </c>
      <c r="I198" s="52">
        <f>H198-E198</f>
        <v>-7959.333933152957</v>
      </c>
      <c r="J198" s="50">
        <f>I198/$B$1</f>
        <v>-0.0007959333933152957</v>
      </c>
    </row>
    <row r="199" spans="1:10" ht="13.5" thickBot="1">
      <c r="A199" s="17"/>
      <c r="B199" t="s">
        <v>37</v>
      </c>
      <c r="C199" s="16"/>
      <c r="D199" s="165">
        <f>D197-D198</f>
        <v>0.018821288828906935</v>
      </c>
      <c r="E199" s="166">
        <f>D199*B1</f>
        <v>188212.88828906935</v>
      </c>
      <c r="F199" s="167">
        <f>F197-F198</f>
        <v>0.019786785515419715</v>
      </c>
      <c r="G199" s="54" t="s">
        <v>5</v>
      </c>
      <c r="H199" s="168">
        <f>H197-H198</f>
        <v>196172.22222222225</v>
      </c>
      <c r="I199" s="52">
        <f>H199-E199</f>
        <v>7959.333933152899</v>
      </c>
      <c r="J199" s="50">
        <f>I199/$B$1</f>
        <v>0.0007959333933152899</v>
      </c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5"/>
  <sheetViews>
    <sheetView workbookViewId="0" topLeftCell="A1">
      <selection activeCell="G6" sqref="G6"/>
    </sheetView>
  </sheetViews>
  <sheetFormatPr defaultColWidth="9.140625" defaultRowHeight="12.75"/>
  <cols>
    <col min="1" max="1" width="20.8515625" style="0" customWidth="1"/>
    <col min="2" max="2" width="7.7109375" style="0" customWidth="1"/>
    <col min="3" max="3" width="9.7109375" style="0" customWidth="1"/>
    <col min="4" max="4" width="10.8515625" style="0" customWidth="1"/>
    <col min="5" max="5" width="10.421875" style="0" customWidth="1"/>
    <col min="6" max="6" width="8.7109375" style="154" bestFit="1" customWidth="1"/>
    <col min="7" max="8" width="10.8515625" style="128" customWidth="1"/>
    <col min="9" max="9" width="8.7109375" style="159" bestFit="1" customWidth="1"/>
    <col min="10" max="10" width="10.8515625" style="128" customWidth="1"/>
    <col min="11" max="11" width="21.140625" style="36" bestFit="1" customWidth="1"/>
    <col min="12" max="12" width="6.00390625" style="36" bestFit="1" customWidth="1"/>
    <col min="13" max="13" width="9.28125" style="36" bestFit="1" customWidth="1"/>
    <col min="14" max="14" width="16.421875" style="36" bestFit="1" customWidth="1"/>
    <col min="15" max="15" width="8.28125" style="36" bestFit="1" customWidth="1"/>
    <col min="16" max="16" width="8.7109375" style="36" bestFit="1" customWidth="1"/>
    <col min="17" max="17" width="18.7109375" style="36" bestFit="1" customWidth="1"/>
    <col min="18" max="18" width="83.8515625" style="0" customWidth="1"/>
  </cols>
  <sheetData>
    <row r="1" spans="1:15" ht="12.75">
      <c r="A1" s="46" t="s">
        <v>78</v>
      </c>
      <c r="C1" s="109">
        <f>C2/365</f>
        <v>0.00016438356164383562</v>
      </c>
      <c r="D1" s="13" t="s">
        <v>100</v>
      </c>
      <c r="E1" s="110"/>
      <c r="K1" s="129" t="s">
        <v>78</v>
      </c>
      <c r="M1" s="130">
        <f>M2/365</f>
        <v>0</v>
      </c>
      <c r="N1" s="131" t="s">
        <v>100</v>
      </c>
      <c r="O1" s="132"/>
    </row>
    <row r="2" spans="3:15" ht="12.75">
      <c r="C2" s="109">
        <v>0.06</v>
      </c>
      <c r="D2" s="13" t="s">
        <v>99</v>
      </c>
      <c r="E2" s="110"/>
      <c r="M2" s="130">
        <v>0</v>
      </c>
      <c r="N2" s="131" t="s">
        <v>99</v>
      </c>
      <c r="O2" s="132"/>
    </row>
    <row r="3" spans="1:15" ht="12.75">
      <c r="A3" t="s">
        <v>79</v>
      </c>
      <c r="E3" s="110"/>
      <c r="K3" s="36" t="s">
        <v>79</v>
      </c>
      <c r="O3" s="132"/>
    </row>
    <row r="4" spans="1:15" ht="12.75">
      <c r="A4" s="46" t="s">
        <v>80</v>
      </c>
      <c r="B4">
        <v>2500</v>
      </c>
      <c r="E4" s="110"/>
      <c r="K4" s="129" t="s">
        <v>80</v>
      </c>
      <c r="L4" s="36">
        <v>2500</v>
      </c>
      <c r="O4" s="132"/>
    </row>
    <row r="5" spans="1:15" ht="12.75">
      <c r="A5" s="46" t="s">
        <v>81</v>
      </c>
      <c r="B5">
        <v>10</v>
      </c>
      <c r="E5" s="110"/>
      <c r="K5" s="129" t="s">
        <v>81</v>
      </c>
      <c r="L5" s="36">
        <v>10</v>
      </c>
      <c r="O5" s="132"/>
    </row>
    <row r="6" spans="1:15" ht="12.75">
      <c r="A6" s="46" t="s">
        <v>82</v>
      </c>
      <c r="B6">
        <f>B4*B5</f>
        <v>25000</v>
      </c>
      <c r="E6" s="110"/>
      <c r="K6" s="129" t="s">
        <v>82</v>
      </c>
      <c r="L6" s="36">
        <f>L4*L5</f>
        <v>25000</v>
      </c>
      <c r="O6" s="132"/>
    </row>
    <row r="7" spans="1:15" ht="12.75">
      <c r="A7" s="111">
        <v>36511</v>
      </c>
      <c r="C7" s="112">
        <v>36602</v>
      </c>
      <c r="D7" s="112">
        <v>36694</v>
      </c>
      <c r="E7" s="113">
        <v>36786</v>
      </c>
      <c r="K7" s="133">
        <v>36511</v>
      </c>
      <c r="M7" s="134">
        <v>36602</v>
      </c>
      <c r="N7" s="134">
        <v>36694</v>
      </c>
      <c r="O7" s="135">
        <v>36786</v>
      </c>
    </row>
    <row r="8" spans="1:15" ht="12.75">
      <c r="A8" s="46" t="s">
        <v>83</v>
      </c>
      <c r="C8" s="114">
        <v>5.88</v>
      </c>
      <c r="D8" s="114">
        <v>6.05</v>
      </c>
      <c r="E8" s="115">
        <v>6.2</v>
      </c>
      <c r="K8" s="129" t="s">
        <v>83</v>
      </c>
      <c r="M8" s="136">
        <v>5.88</v>
      </c>
      <c r="N8" s="136">
        <v>6.05</v>
      </c>
      <c r="O8" s="137">
        <v>6.2</v>
      </c>
    </row>
    <row r="9" spans="1:15" ht="12.75">
      <c r="A9" t="s">
        <v>84</v>
      </c>
      <c r="C9" s="114">
        <v>5.75</v>
      </c>
      <c r="D9" s="114">
        <v>5.75</v>
      </c>
      <c r="E9" s="114">
        <v>5.75</v>
      </c>
      <c r="K9" s="36" t="s">
        <v>84</v>
      </c>
      <c r="M9" s="136">
        <v>5.75</v>
      </c>
      <c r="N9" s="136">
        <v>5.75</v>
      </c>
      <c r="O9" s="136">
        <v>5.75</v>
      </c>
    </row>
    <row r="10" spans="1:15" ht="12.75">
      <c r="A10" s="46" t="s">
        <v>85</v>
      </c>
      <c r="C10" s="116">
        <f>C7-$A7</f>
        <v>91</v>
      </c>
      <c r="D10" s="116">
        <f>D7-$A7</f>
        <v>183</v>
      </c>
      <c r="E10" s="116">
        <f>E7-$A7</f>
        <v>275</v>
      </c>
      <c r="K10" s="129" t="s">
        <v>85</v>
      </c>
      <c r="M10" s="138">
        <f>M7-$A7</f>
        <v>91</v>
      </c>
      <c r="N10" s="138">
        <f>N7-$A7</f>
        <v>183</v>
      </c>
      <c r="O10" s="138">
        <f>O7-$A7</f>
        <v>275</v>
      </c>
    </row>
    <row r="11" spans="5:37" s="139" customFormat="1" ht="12.75">
      <c r="E11" s="140"/>
      <c r="F11" s="155"/>
      <c r="I11" s="155"/>
      <c r="O11" s="14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15" ht="12.75">
      <c r="A12" s="111">
        <v>36525</v>
      </c>
      <c r="E12" s="110"/>
      <c r="F12" s="141" t="s">
        <v>104</v>
      </c>
      <c r="I12" s="142" t="s">
        <v>104</v>
      </c>
      <c r="K12" s="133">
        <v>36525</v>
      </c>
      <c r="O12" s="132"/>
    </row>
    <row r="13" spans="1:15" ht="12.75">
      <c r="A13" t="s">
        <v>86</v>
      </c>
      <c r="C13" s="114">
        <v>5.9</v>
      </c>
      <c r="D13" s="114">
        <v>6.09</v>
      </c>
      <c r="E13" s="115">
        <v>6.23</v>
      </c>
      <c r="F13" s="141" t="s">
        <v>105</v>
      </c>
      <c r="I13" s="142" t="s">
        <v>105</v>
      </c>
      <c r="K13" s="36" t="s">
        <v>86</v>
      </c>
      <c r="M13" s="136">
        <v>5.9</v>
      </c>
      <c r="N13" s="136">
        <v>6.09</v>
      </c>
      <c r="O13" s="137">
        <v>6.23</v>
      </c>
    </row>
    <row r="14" spans="1:15" ht="12.75">
      <c r="A14" t="s">
        <v>87</v>
      </c>
      <c r="C14" s="114">
        <v>5.79</v>
      </c>
      <c r="D14" s="114">
        <v>5.79</v>
      </c>
      <c r="E14" s="114">
        <v>5.79</v>
      </c>
      <c r="F14" s="141" t="s">
        <v>42</v>
      </c>
      <c r="I14" s="142" t="s">
        <v>42</v>
      </c>
      <c r="K14" s="36" t="s">
        <v>87</v>
      </c>
      <c r="M14" s="136">
        <v>5.79</v>
      </c>
      <c r="N14" s="136">
        <v>5.79</v>
      </c>
      <c r="O14" s="136">
        <v>5.79</v>
      </c>
    </row>
    <row r="15" spans="1:15" ht="12.75">
      <c r="A15" s="46" t="s">
        <v>88</v>
      </c>
      <c r="C15" s="90">
        <f>$A12-$A$7</f>
        <v>14</v>
      </c>
      <c r="D15" s="90">
        <f>$A12-$A$7</f>
        <v>14</v>
      </c>
      <c r="E15" s="90">
        <f>$A12-$A$7</f>
        <v>14</v>
      </c>
      <c r="F15" s="143">
        <f>C2</f>
        <v>0.06</v>
      </c>
      <c r="I15" s="144">
        <f>M2</f>
        <v>0</v>
      </c>
      <c r="K15" s="129" t="s">
        <v>88</v>
      </c>
      <c r="M15" s="145">
        <f>$A12-$A$7</f>
        <v>14</v>
      </c>
      <c r="N15" s="145">
        <f>$A12-$A$7</f>
        <v>14</v>
      </c>
      <c r="O15" s="145">
        <f>$A12-$A$7</f>
        <v>14</v>
      </c>
    </row>
    <row r="16" spans="1:15" ht="12.75">
      <c r="A16" s="46" t="s">
        <v>89</v>
      </c>
      <c r="C16" s="117">
        <f>ROUND(-(((C$8-C13)*$B$6)/((1+$C$1)^(C$10-C15))),0)</f>
        <v>494</v>
      </c>
      <c r="D16" s="117">
        <f>ROUND(-(((D$8-D13)*$B$6)/((1+$C$1)^(D$10-D15))),0)</f>
        <v>973</v>
      </c>
      <c r="E16" s="117">
        <f>ROUND(-(((E$8-E13)*$B$6)/((1+$C$1)^(E$10-E15))),0)</f>
        <v>719</v>
      </c>
      <c r="K16" s="129" t="s">
        <v>89</v>
      </c>
      <c r="M16" s="146">
        <f>ROUND(-(((M$8-M13)*$B$6)/((1+$M$1)^(M$10-M15))),0)</f>
        <v>500</v>
      </c>
      <c r="N16" s="146">
        <f>ROUND(-(((N$8-N13)*$B$6)/((1+$M$1)^(N$10-N15))),0)</f>
        <v>1000</v>
      </c>
      <c r="O16" s="146">
        <f>ROUND(-(((O$8-O13)*$B$6)/((1+$M$1)^(O$10-O15))),0)</f>
        <v>750</v>
      </c>
    </row>
    <row r="17" spans="1:16" ht="12.75">
      <c r="A17" s="46" t="s">
        <v>90</v>
      </c>
      <c r="C17" s="117">
        <f>ROUND(-(((C$9-C14)*$B$6)/((1+$C$1)^(C$10-C15))),0)</f>
        <v>987</v>
      </c>
      <c r="D17" s="117">
        <f>ROUND(-(((D$9-D14)*$B$6)/((1+$C$1)^(D$10-D15))),0)</f>
        <v>973</v>
      </c>
      <c r="E17" s="117">
        <f>ROUND(-(((E$9-E14)*$B$6)/((1+$C$1)^(E$10-E15))),0)</f>
        <v>958</v>
      </c>
      <c r="F17" s="141" t="s">
        <v>91</v>
      </c>
      <c r="I17" s="142" t="s">
        <v>91</v>
      </c>
      <c r="K17" s="129" t="s">
        <v>90</v>
      </c>
      <c r="M17" s="146">
        <f>ROUND(-(((M$9-M14)*$B$6)/((1+$M$1)^(M$10-M15))),0)</f>
        <v>1000</v>
      </c>
      <c r="N17" s="146">
        <f>ROUND(-(((N$9-N14)*$B$6)/((1+$M$1)^(N$10-N15))),0)</f>
        <v>1000</v>
      </c>
      <c r="O17" s="146">
        <f>ROUND(-(((O$9-O14)*$B$6)/((1+$M$1)^(O$10-O15))),0)</f>
        <v>1000</v>
      </c>
      <c r="P17" s="147" t="s">
        <v>91</v>
      </c>
    </row>
    <row r="18" spans="1:15" ht="12.75">
      <c r="A18" s="46" t="s">
        <v>92</v>
      </c>
      <c r="C18" s="117">
        <f>C16-C17</f>
        <v>-493</v>
      </c>
      <c r="D18" s="117">
        <f>D16-D17</f>
        <v>0</v>
      </c>
      <c r="E18" s="117">
        <f>E16-E17</f>
        <v>-239</v>
      </c>
      <c r="K18" s="129" t="s">
        <v>92</v>
      </c>
      <c r="M18" s="146">
        <f>M16-M17</f>
        <v>-500</v>
      </c>
      <c r="N18" s="146">
        <f>N16-N17</f>
        <v>0</v>
      </c>
      <c r="O18" s="146">
        <f>O16-O17</f>
        <v>-250</v>
      </c>
    </row>
    <row r="19" spans="1:17" ht="12.75">
      <c r="A19" s="46" t="s">
        <v>93</v>
      </c>
      <c r="C19" s="117">
        <f>C16</f>
        <v>494</v>
      </c>
      <c r="D19" s="117">
        <f>D16</f>
        <v>973</v>
      </c>
      <c r="E19" s="118">
        <f>E16</f>
        <v>719</v>
      </c>
      <c r="F19" s="156">
        <f>SUM(C19:E19)</f>
        <v>2186</v>
      </c>
      <c r="G19" s="148" t="s">
        <v>94</v>
      </c>
      <c r="H19" s="148"/>
      <c r="I19" s="160">
        <f>P19</f>
        <v>2250</v>
      </c>
      <c r="K19" s="129" t="s">
        <v>93</v>
      </c>
      <c r="M19" s="146">
        <f>M16</f>
        <v>500</v>
      </c>
      <c r="N19" s="146">
        <f>N16</f>
        <v>1000</v>
      </c>
      <c r="O19" s="150">
        <f>O16</f>
        <v>750</v>
      </c>
      <c r="P19" s="149">
        <f>SUM(M19:O19)</f>
        <v>2250</v>
      </c>
      <c r="Q19" s="129" t="s">
        <v>94</v>
      </c>
    </row>
    <row r="20" spans="1:17" ht="12.75">
      <c r="A20" s="46" t="s">
        <v>95</v>
      </c>
      <c r="C20" s="119">
        <f aca="true" t="shared" si="0" ref="C20:E21">-C17</f>
        <v>-987</v>
      </c>
      <c r="D20" s="119">
        <f t="shared" si="0"/>
        <v>-973</v>
      </c>
      <c r="E20" s="120">
        <f t="shared" si="0"/>
        <v>-958</v>
      </c>
      <c r="F20" s="157">
        <f>SUM(C20:E20)</f>
        <v>-2918</v>
      </c>
      <c r="G20" s="148" t="s">
        <v>96</v>
      </c>
      <c r="H20" s="148"/>
      <c r="I20" s="160">
        <f>P20</f>
        <v>-3000</v>
      </c>
      <c r="K20" s="129" t="s">
        <v>95</v>
      </c>
      <c r="M20" s="151">
        <f aca="true" t="shared" si="1" ref="M20:O21">-M17</f>
        <v>-1000</v>
      </c>
      <c r="N20" s="151">
        <f t="shared" si="1"/>
        <v>-1000</v>
      </c>
      <c r="O20" s="152">
        <f t="shared" si="1"/>
        <v>-1000</v>
      </c>
      <c r="P20" s="153">
        <f>SUM(M20:O20)</f>
        <v>-3000</v>
      </c>
      <c r="Q20" s="129" t="s">
        <v>96</v>
      </c>
    </row>
    <row r="21" spans="1:17" ht="12.75">
      <c r="A21" s="46" t="s">
        <v>97</v>
      </c>
      <c r="C21" s="119">
        <f t="shared" si="0"/>
        <v>493</v>
      </c>
      <c r="D21" s="119">
        <f t="shared" si="0"/>
        <v>0</v>
      </c>
      <c r="E21" s="120">
        <f t="shared" si="0"/>
        <v>239</v>
      </c>
      <c r="F21" s="157">
        <f>SUM(C21:E21)</f>
        <v>732</v>
      </c>
      <c r="G21" s="128" t="s">
        <v>98</v>
      </c>
      <c r="I21" s="160">
        <f>P21</f>
        <v>750</v>
      </c>
      <c r="K21" s="129" t="s">
        <v>97</v>
      </c>
      <c r="M21" s="151">
        <f t="shared" si="1"/>
        <v>500</v>
      </c>
      <c r="N21" s="151">
        <f t="shared" si="1"/>
        <v>0</v>
      </c>
      <c r="O21" s="152">
        <f t="shared" si="1"/>
        <v>250</v>
      </c>
      <c r="P21" s="153">
        <f>SUM(M21:O21)</f>
        <v>750</v>
      </c>
      <c r="Q21" s="36" t="s">
        <v>98</v>
      </c>
    </row>
    <row r="22" spans="5:37" s="139" customFormat="1" ht="12.75">
      <c r="E22" s="140"/>
      <c r="F22" s="155"/>
      <c r="I22" s="161"/>
      <c r="O22" s="14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15" ht="12.75">
      <c r="A23" s="111">
        <v>36556</v>
      </c>
      <c r="E23" s="110"/>
      <c r="I23" s="160"/>
      <c r="K23" s="133">
        <v>36556</v>
      </c>
      <c r="O23" s="132"/>
    </row>
    <row r="24" spans="1:15" ht="12.75">
      <c r="A24" t="s">
        <v>86</v>
      </c>
      <c r="C24" s="114">
        <v>6.1</v>
      </c>
      <c r="D24" s="114">
        <v>6.18</v>
      </c>
      <c r="E24" s="115">
        <v>6.26</v>
      </c>
      <c r="I24" s="160"/>
      <c r="K24" s="36" t="s">
        <v>86</v>
      </c>
      <c r="M24" s="136">
        <v>6.1</v>
      </c>
      <c r="N24" s="136">
        <v>6.18</v>
      </c>
      <c r="O24" s="137">
        <v>6.26</v>
      </c>
    </row>
    <row r="25" spans="1:15" ht="12.75">
      <c r="A25" t="s">
        <v>87</v>
      </c>
      <c r="C25" s="114">
        <v>5.89</v>
      </c>
      <c r="D25" s="114">
        <v>5.89</v>
      </c>
      <c r="E25" s="114">
        <v>5.89</v>
      </c>
      <c r="I25" s="160"/>
      <c r="K25" s="36" t="s">
        <v>87</v>
      </c>
      <c r="M25" s="136">
        <v>5.89</v>
      </c>
      <c r="N25" s="136">
        <v>5.89</v>
      </c>
      <c r="O25" s="136">
        <v>5.89</v>
      </c>
    </row>
    <row r="26" spans="1:15" ht="12.75">
      <c r="A26" s="46" t="s">
        <v>88</v>
      </c>
      <c r="C26" s="90">
        <f>$A23-$A$7</f>
        <v>45</v>
      </c>
      <c r="D26" s="90">
        <f>$A23-$A$7</f>
        <v>45</v>
      </c>
      <c r="E26" s="90">
        <f>$A23-$A$7</f>
        <v>45</v>
      </c>
      <c r="I26" s="160"/>
      <c r="K26" s="129" t="s">
        <v>88</v>
      </c>
      <c r="M26" s="145">
        <f>$A23-$A$7</f>
        <v>45</v>
      </c>
      <c r="N26" s="145">
        <f>$A23-$A$7</f>
        <v>45</v>
      </c>
      <c r="O26" s="145">
        <f>$A23-$A$7</f>
        <v>45</v>
      </c>
    </row>
    <row r="27" spans="1:15" ht="12.75">
      <c r="A27" s="46" t="s">
        <v>89</v>
      </c>
      <c r="C27" s="117">
        <f>ROUND(-(((C$8-C24)*$B$6)/((1+$C$1)^(C$10-C26))),0)</f>
        <v>5459</v>
      </c>
      <c r="D27" s="117">
        <f>ROUND(-(((D$8-D24)*$B$6)/((1+$C$1)^(D$10-D26))),0)</f>
        <v>3177</v>
      </c>
      <c r="E27" s="117">
        <f>ROUND(-(((E$8-E24)*$B$6)/((1+$C$1)^(E$10-E26))),0)</f>
        <v>1444</v>
      </c>
      <c r="I27" s="160"/>
      <c r="K27" s="129" t="s">
        <v>89</v>
      </c>
      <c r="M27" s="146">
        <f>ROUND(-(((M$8-M24)*$B$6)/((1+$M$1)^(M$10-M26))),0)</f>
        <v>5500</v>
      </c>
      <c r="N27" s="146">
        <f>ROUND(-(((N$8-N24)*$B$6)/((1+$M$1)^(N$10-N26))),0)</f>
        <v>3250</v>
      </c>
      <c r="O27" s="146">
        <f>ROUND(-(((O$8-O24)*$B$6)/((1+$M$1)^(O$10-O26))),0)</f>
        <v>1500</v>
      </c>
    </row>
    <row r="28" spans="1:16" ht="12.75">
      <c r="A28" s="46" t="s">
        <v>90</v>
      </c>
      <c r="C28" s="117">
        <f>ROUND(-(((C$9-C25)*$B$6)/((1+$C$1)^(C$10-C26))),0)</f>
        <v>3474</v>
      </c>
      <c r="D28" s="117">
        <f>ROUND(-(((D$9-D25)*$B$6)/((1+$C$1)^(D$10-D26))),0)</f>
        <v>3422</v>
      </c>
      <c r="E28" s="117">
        <f>ROUND(-(((E$9-E25)*$B$6)/((1+$C$1)^(E$10-E26))),0)</f>
        <v>3370</v>
      </c>
      <c r="F28" s="141" t="s">
        <v>91</v>
      </c>
      <c r="I28" s="160" t="str">
        <f>P28</f>
        <v>Dr/(Cr)</v>
      </c>
      <c r="K28" s="129" t="s">
        <v>90</v>
      </c>
      <c r="M28" s="146">
        <f>ROUND(-(((M$9-M25)*$B$6)/((1+$M$1)^(M$10-M26))),0)</f>
        <v>3500</v>
      </c>
      <c r="N28" s="146">
        <f>ROUND(-(((N$9-N25)*$B$6)/((1+$M$1)^(N$10-N26))),0)</f>
        <v>3500</v>
      </c>
      <c r="O28" s="146">
        <f>ROUND(-(((O$9-O25)*$B$6)/((1+$M$1)^(O$10-O26))),0)</f>
        <v>3500</v>
      </c>
      <c r="P28" s="147" t="s">
        <v>91</v>
      </c>
    </row>
    <row r="29" spans="1:15" ht="12.75">
      <c r="A29" s="46" t="s">
        <v>92</v>
      </c>
      <c r="C29" s="117">
        <f>C27-C28</f>
        <v>1985</v>
      </c>
      <c r="D29" s="117">
        <f>D27-D28</f>
        <v>-245</v>
      </c>
      <c r="E29" s="118">
        <f>E27-E28</f>
        <v>-1926</v>
      </c>
      <c r="I29" s="160">
        <f>P29</f>
        <v>0</v>
      </c>
      <c r="K29" s="129" t="s">
        <v>92</v>
      </c>
      <c r="M29" s="146">
        <f>M27-M28</f>
        <v>2000</v>
      </c>
      <c r="N29" s="146">
        <f>N27-N28</f>
        <v>-250</v>
      </c>
      <c r="O29" s="150">
        <f>O27-O28</f>
        <v>-2000</v>
      </c>
    </row>
    <row r="30" spans="1:17" ht="12.75">
      <c r="A30" s="46" t="s">
        <v>93</v>
      </c>
      <c r="C30" s="117">
        <f>C27</f>
        <v>5459</v>
      </c>
      <c r="D30" s="117">
        <f>D27</f>
        <v>3177</v>
      </c>
      <c r="E30" s="118">
        <f>E27</f>
        <v>1444</v>
      </c>
      <c r="F30" s="156">
        <f>SUM(C30:E30)</f>
        <v>10080</v>
      </c>
      <c r="G30" s="148" t="s">
        <v>94</v>
      </c>
      <c r="H30" s="148"/>
      <c r="I30" s="160">
        <f>P30</f>
        <v>10250</v>
      </c>
      <c r="K30" s="129" t="s">
        <v>93</v>
      </c>
      <c r="M30" s="146">
        <f>M27</f>
        <v>5500</v>
      </c>
      <c r="N30" s="146">
        <f>N27</f>
        <v>3250</v>
      </c>
      <c r="O30" s="150">
        <f>O27</f>
        <v>1500</v>
      </c>
      <c r="P30" s="149">
        <f>SUM(M30:O30)</f>
        <v>10250</v>
      </c>
      <c r="Q30" s="129" t="s">
        <v>94</v>
      </c>
    </row>
    <row r="31" spans="1:17" ht="12.75">
      <c r="A31" s="46" t="s">
        <v>95</v>
      </c>
      <c r="C31" s="119">
        <f aca="true" t="shared" si="2" ref="C31:E32">-C28</f>
        <v>-3474</v>
      </c>
      <c r="D31" s="119">
        <f t="shared" si="2"/>
        <v>-3422</v>
      </c>
      <c r="E31" s="120">
        <f t="shared" si="2"/>
        <v>-3370</v>
      </c>
      <c r="F31" s="157">
        <f>SUM(C31:E31)</f>
        <v>-10266</v>
      </c>
      <c r="G31" s="148" t="s">
        <v>96</v>
      </c>
      <c r="H31" s="148"/>
      <c r="I31" s="160">
        <f>P31</f>
        <v>-10500</v>
      </c>
      <c r="K31" s="129" t="s">
        <v>95</v>
      </c>
      <c r="M31" s="151">
        <f aca="true" t="shared" si="3" ref="M31:O32">-M28</f>
        <v>-3500</v>
      </c>
      <c r="N31" s="151">
        <f t="shared" si="3"/>
        <v>-3500</v>
      </c>
      <c r="O31" s="152">
        <f t="shared" si="3"/>
        <v>-3500</v>
      </c>
      <c r="P31" s="153">
        <f>SUM(M31:O31)</f>
        <v>-10500</v>
      </c>
      <c r="Q31" s="129" t="s">
        <v>96</v>
      </c>
    </row>
    <row r="32" spans="1:17" ht="12.75">
      <c r="A32" s="46" t="s">
        <v>97</v>
      </c>
      <c r="C32" s="119">
        <f t="shared" si="2"/>
        <v>-1985</v>
      </c>
      <c r="D32" s="119">
        <f t="shared" si="2"/>
        <v>245</v>
      </c>
      <c r="E32" s="120">
        <f t="shared" si="2"/>
        <v>1926</v>
      </c>
      <c r="F32" s="157">
        <f>SUM(C32:E32)</f>
        <v>186</v>
      </c>
      <c r="G32" s="128" t="s">
        <v>98</v>
      </c>
      <c r="I32" s="160">
        <f>P32</f>
        <v>250</v>
      </c>
      <c r="K32" s="129" t="s">
        <v>97</v>
      </c>
      <c r="M32" s="151">
        <f t="shared" si="3"/>
        <v>-2000</v>
      </c>
      <c r="N32" s="151">
        <f t="shared" si="3"/>
        <v>250</v>
      </c>
      <c r="O32" s="152">
        <f t="shared" si="3"/>
        <v>2000</v>
      </c>
      <c r="P32" s="153">
        <f>SUM(M32:O32)</f>
        <v>250</v>
      </c>
      <c r="Q32" s="36" t="s">
        <v>98</v>
      </c>
    </row>
    <row r="33" spans="5:37" s="139" customFormat="1" ht="12.75">
      <c r="E33" s="140"/>
      <c r="F33" s="155"/>
      <c r="I33" s="161"/>
      <c r="O33" s="14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15" ht="12.75">
      <c r="A34" s="111">
        <v>36585</v>
      </c>
      <c r="E34" s="110"/>
      <c r="I34" s="160"/>
      <c r="K34" s="133">
        <v>36585</v>
      </c>
      <c r="O34" s="132"/>
    </row>
    <row r="35" spans="1:15" ht="12.75">
      <c r="A35" t="s">
        <v>86</v>
      </c>
      <c r="C35" s="114">
        <v>6.5</v>
      </c>
      <c r="D35" s="114">
        <v>6.59</v>
      </c>
      <c r="E35" s="115">
        <v>6.69</v>
      </c>
      <c r="I35" s="160"/>
      <c r="K35" s="36" t="s">
        <v>86</v>
      </c>
      <c r="M35" s="136">
        <v>6.5</v>
      </c>
      <c r="N35" s="136">
        <v>6.59</v>
      </c>
      <c r="O35" s="137">
        <v>6.69</v>
      </c>
    </row>
    <row r="36" spans="1:15" ht="12.75">
      <c r="A36" t="s">
        <v>87</v>
      </c>
      <c r="C36" s="114">
        <v>6.45</v>
      </c>
      <c r="D36" s="114">
        <v>6.45</v>
      </c>
      <c r="E36" s="114">
        <v>6.45</v>
      </c>
      <c r="I36" s="160"/>
      <c r="K36" s="36" t="s">
        <v>87</v>
      </c>
      <c r="M36" s="136">
        <v>6.45</v>
      </c>
      <c r="N36" s="136">
        <v>6.45</v>
      </c>
      <c r="O36" s="136">
        <v>6.45</v>
      </c>
    </row>
    <row r="37" spans="1:15" ht="12.75">
      <c r="A37" s="46" t="s">
        <v>88</v>
      </c>
      <c r="C37" s="90">
        <f>$A34-$A$7</f>
        <v>74</v>
      </c>
      <c r="D37" s="90">
        <f>$A34-$A$7</f>
        <v>74</v>
      </c>
      <c r="E37" s="90">
        <f>$A34-$A$7</f>
        <v>74</v>
      </c>
      <c r="I37" s="160"/>
      <c r="K37" s="129" t="s">
        <v>88</v>
      </c>
      <c r="M37" s="145">
        <f>$A34-$A$7</f>
        <v>74</v>
      </c>
      <c r="N37" s="145">
        <f>$A34-$A$7</f>
        <v>74</v>
      </c>
      <c r="O37" s="145">
        <f>$A34-$A$7</f>
        <v>74</v>
      </c>
    </row>
    <row r="38" spans="1:15" ht="12.75">
      <c r="A38" s="46" t="s">
        <v>89</v>
      </c>
      <c r="C38" s="117">
        <f>ROUND(-(((C$8-C35)*$B$6)/((1+$C$1)^(C$10-C37))),0)</f>
        <v>15457</v>
      </c>
      <c r="D38" s="117">
        <f>ROUND(-(((D$8-D35)*$B$6)/((1+$C$1)^(D$10-D37))),0)</f>
        <v>13260</v>
      </c>
      <c r="E38" s="117">
        <f>ROUND(-(((E$8-E35)*$B$6)/((1+$C$1)^(E$10-E37))),0)</f>
        <v>11852</v>
      </c>
      <c r="I38" s="160"/>
      <c r="K38" s="129" t="s">
        <v>89</v>
      </c>
      <c r="M38" s="146">
        <f>ROUND(-(((M$8-M35)*$B$6)/((1+$M$1)^(M$10-M37))),0)</f>
        <v>15500</v>
      </c>
      <c r="N38" s="146">
        <f>ROUND(-(((N$8-N35)*$B$6)/((1+$M$1)^(N$10-N37))),0)</f>
        <v>13500</v>
      </c>
      <c r="O38" s="146">
        <f>ROUND(-(((O$8-O35)*$B$6)/((1+$M$1)^(O$10-O37))),0)</f>
        <v>12250</v>
      </c>
    </row>
    <row r="39" spans="1:16" ht="12.75">
      <c r="A39" s="46" t="s">
        <v>90</v>
      </c>
      <c r="C39" s="117">
        <f>ROUND(-(((C$9-C36)*$B$6)/((1+$C$1)^(C$10-C37))),0)</f>
        <v>17451</v>
      </c>
      <c r="D39" s="117">
        <f>ROUND(-(((D$9-D36)*$B$6)/((1+$C$1)^(D$10-D37))),0)</f>
        <v>17189</v>
      </c>
      <c r="E39" s="117">
        <f>ROUND(-(((E$9-E36)*$B$6)/((1+$C$1)^(E$10-E37))),0)</f>
        <v>16931</v>
      </c>
      <c r="F39" s="141" t="s">
        <v>91</v>
      </c>
      <c r="I39" s="160" t="str">
        <f>P39</f>
        <v>Dr/(Cr)</v>
      </c>
      <c r="K39" s="129" t="s">
        <v>90</v>
      </c>
      <c r="M39" s="146">
        <f>ROUND(-(((M$9-M36)*$B$6)/((1+$M$1)^(M$10-M37))),0)</f>
        <v>17500</v>
      </c>
      <c r="N39" s="146">
        <f>ROUND(-(((N$9-N36)*$B$6)/((1+$M$1)^(N$10-N37))),0)</f>
        <v>17500</v>
      </c>
      <c r="O39" s="146">
        <f>ROUND(-(((O$9-O36)*$B$6)/((1+$M$1)^(O$10-O37))),0)</f>
        <v>17500</v>
      </c>
      <c r="P39" s="147" t="s">
        <v>91</v>
      </c>
    </row>
    <row r="40" spans="1:15" ht="12.75">
      <c r="A40" s="46" t="s">
        <v>92</v>
      </c>
      <c r="C40" s="117">
        <f>C38-C39</f>
        <v>-1994</v>
      </c>
      <c r="D40" s="117">
        <f>D38-D39</f>
        <v>-3929</v>
      </c>
      <c r="E40" s="118">
        <f>E38-E39</f>
        <v>-5079</v>
      </c>
      <c r="I40" s="160">
        <f>P40</f>
        <v>0</v>
      </c>
      <c r="K40" s="129" t="s">
        <v>92</v>
      </c>
      <c r="M40" s="146">
        <f>M38-M39</f>
        <v>-2000</v>
      </c>
      <c r="N40" s="146">
        <f>N38-N39</f>
        <v>-4000</v>
      </c>
      <c r="O40" s="150">
        <f>O38-O39</f>
        <v>-5250</v>
      </c>
    </row>
    <row r="41" spans="1:17" ht="12.75">
      <c r="A41" s="46" t="s">
        <v>93</v>
      </c>
      <c r="C41" s="117">
        <f>C38</f>
        <v>15457</v>
      </c>
      <c r="D41" s="117">
        <f>D38</f>
        <v>13260</v>
      </c>
      <c r="E41" s="118">
        <f>E38</f>
        <v>11852</v>
      </c>
      <c r="F41" s="156">
        <f>SUM(C41:E41)</f>
        <v>40569</v>
      </c>
      <c r="G41" s="148" t="s">
        <v>94</v>
      </c>
      <c r="H41" s="148"/>
      <c r="I41" s="160">
        <f>P41</f>
        <v>41250</v>
      </c>
      <c r="K41" s="129" t="s">
        <v>93</v>
      </c>
      <c r="M41" s="146">
        <f>M38</f>
        <v>15500</v>
      </c>
      <c r="N41" s="146">
        <f>N38</f>
        <v>13500</v>
      </c>
      <c r="O41" s="150">
        <f>O38</f>
        <v>12250</v>
      </c>
      <c r="P41" s="149">
        <f>SUM(M41:O41)</f>
        <v>41250</v>
      </c>
      <c r="Q41" s="129" t="s">
        <v>94</v>
      </c>
    </row>
    <row r="42" spans="1:17" ht="12.75">
      <c r="A42" s="46" t="s">
        <v>95</v>
      </c>
      <c r="C42" s="119">
        <f aca="true" t="shared" si="4" ref="C42:E43">-C39</f>
        <v>-17451</v>
      </c>
      <c r="D42" s="119">
        <f t="shared" si="4"/>
        <v>-17189</v>
      </c>
      <c r="E42" s="120">
        <f t="shared" si="4"/>
        <v>-16931</v>
      </c>
      <c r="F42" s="157">
        <f>SUM(C42:E42)</f>
        <v>-51571</v>
      </c>
      <c r="G42" s="148" t="s">
        <v>96</v>
      </c>
      <c r="H42" s="148"/>
      <c r="I42" s="160">
        <f>P42</f>
        <v>-52500</v>
      </c>
      <c r="K42" s="129" t="s">
        <v>95</v>
      </c>
      <c r="M42" s="151">
        <f aca="true" t="shared" si="5" ref="M42:O43">-M39</f>
        <v>-17500</v>
      </c>
      <c r="N42" s="151">
        <f t="shared" si="5"/>
        <v>-17500</v>
      </c>
      <c r="O42" s="152">
        <f t="shared" si="5"/>
        <v>-17500</v>
      </c>
      <c r="P42" s="153">
        <f>SUM(M42:O42)</f>
        <v>-52500</v>
      </c>
      <c r="Q42" s="129" t="s">
        <v>96</v>
      </c>
    </row>
    <row r="43" spans="1:17" ht="12.75">
      <c r="A43" s="46" t="s">
        <v>97</v>
      </c>
      <c r="C43" s="119">
        <f t="shared" si="4"/>
        <v>1994</v>
      </c>
      <c r="D43" s="119">
        <f t="shared" si="4"/>
        <v>3929</v>
      </c>
      <c r="E43" s="120">
        <f t="shared" si="4"/>
        <v>5079</v>
      </c>
      <c r="F43" s="157">
        <f>SUM(C43:E43)</f>
        <v>11002</v>
      </c>
      <c r="G43" s="128" t="s">
        <v>98</v>
      </c>
      <c r="I43" s="160">
        <f>P43</f>
        <v>11250</v>
      </c>
      <c r="K43" s="129" t="s">
        <v>97</v>
      </c>
      <c r="M43" s="151">
        <f t="shared" si="5"/>
        <v>2000</v>
      </c>
      <c r="N43" s="151">
        <f t="shared" si="5"/>
        <v>4000</v>
      </c>
      <c r="O43" s="152">
        <f t="shared" si="5"/>
        <v>5250</v>
      </c>
      <c r="P43" s="153">
        <f>SUM(M43:O43)</f>
        <v>11250</v>
      </c>
      <c r="Q43" s="36" t="s">
        <v>98</v>
      </c>
    </row>
    <row r="44" spans="6:37" s="139" customFormat="1" ht="12.75">
      <c r="F44" s="155"/>
      <c r="I44" s="161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15" ht="12.75">
      <c r="A45" s="111">
        <v>36602</v>
      </c>
      <c r="E45" s="110"/>
      <c r="I45" s="160"/>
      <c r="K45" s="133">
        <v>36602</v>
      </c>
      <c r="O45" s="132"/>
    </row>
    <row r="46" spans="1:15" ht="12.75">
      <c r="A46" t="s">
        <v>86</v>
      </c>
      <c r="D46">
        <v>7.08</v>
      </c>
      <c r="E46" s="110">
        <v>7.15</v>
      </c>
      <c r="I46" s="160"/>
      <c r="K46" s="36" t="s">
        <v>86</v>
      </c>
      <c r="N46" s="36">
        <v>7.08</v>
      </c>
      <c r="O46" s="132">
        <v>7.15</v>
      </c>
    </row>
    <row r="47" spans="1:15" ht="12.75">
      <c r="A47" t="s">
        <v>87</v>
      </c>
      <c r="D47">
        <v>7.02</v>
      </c>
      <c r="E47">
        <v>7.02</v>
      </c>
      <c r="I47" s="160"/>
      <c r="K47" s="36" t="s">
        <v>87</v>
      </c>
      <c r="N47" s="36">
        <v>7.02</v>
      </c>
      <c r="O47" s="36">
        <v>7.02</v>
      </c>
    </row>
    <row r="48" spans="1:16" ht="12.75">
      <c r="A48" s="46" t="s">
        <v>88</v>
      </c>
      <c r="D48" s="90">
        <f>$A45-$A$7</f>
        <v>91</v>
      </c>
      <c r="E48" s="90">
        <f>$A45-$A$7</f>
        <v>91</v>
      </c>
      <c r="F48" s="154" t="s">
        <v>5</v>
      </c>
      <c r="I48" s="160"/>
      <c r="K48" s="129" t="s">
        <v>88</v>
      </c>
      <c r="N48" s="145">
        <f>$A45-$A$7</f>
        <v>91</v>
      </c>
      <c r="O48" s="145">
        <f>$A45-$A$7</f>
        <v>91</v>
      </c>
      <c r="P48" s="36" t="s">
        <v>5</v>
      </c>
    </row>
    <row r="49" spans="1:15" ht="12.75">
      <c r="A49" s="46" t="s">
        <v>89</v>
      </c>
      <c r="C49" s="117"/>
      <c r="D49" s="117">
        <f>ROUND(-(((D$8-D46)*$B$6)/((1+$C$1)^(D$10-D48))),0)</f>
        <v>25364</v>
      </c>
      <c r="E49" s="117">
        <f>ROUND(-(((E$8-E46)*$B$6)/((1+$C$1)^(E$10-E48))),0)</f>
        <v>23042</v>
      </c>
      <c r="I49" s="160"/>
      <c r="K49" s="129" t="s">
        <v>89</v>
      </c>
      <c r="M49" s="146"/>
      <c r="N49" s="146">
        <f>ROUND(-(((N$8-N46)*$B$6)/((1+$M$1)^(N$10-N48))),0)</f>
        <v>25750</v>
      </c>
      <c r="O49" s="146">
        <f>ROUND(-(((O$8-O46)*$B$6)/((1+$M$1)^(O$10-O48))),0)</f>
        <v>23750</v>
      </c>
    </row>
    <row r="50" spans="1:16" ht="12.75">
      <c r="A50" s="46" t="s">
        <v>90</v>
      </c>
      <c r="C50" s="117"/>
      <c r="D50" s="117">
        <f>ROUND(-(((D$9-D47)*$B$6)/((1+$C$1)^(D$10-D48))),0)</f>
        <v>31273</v>
      </c>
      <c r="E50" s="117">
        <f>ROUND(-(((E$9-E47)*$B$6)/((1+$C$1)^(E$10-E48))),0)</f>
        <v>30804</v>
      </c>
      <c r="F50" s="141" t="s">
        <v>91</v>
      </c>
      <c r="I50" s="160" t="str">
        <f>P50</f>
        <v>Dr/(Cr)</v>
      </c>
      <c r="K50" s="129" t="s">
        <v>90</v>
      </c>
      <c r="M50" s="146"/>
      <c r="N50" s="146">
        <f>ROUND(-(((N$9-N47)*$B$6)/((1+$M$1)^(N$10-N48))),0)</f>
        <v>31750</v>
      </c>
      <c r="O50" s="146">
        <f>ROUND(-(((O$9-O47)*$B$6)/((1+$M$1)^(O$10-O48))),0)</f>
        <v>31750</v>
      </c>
      <c r="P50" s="147" t="s">
        <v>91</v>
      </c>
    </row>
    <row r="51" spans="1:15" ht="12.75">
      <c r="A51" s="46" t="s">
        <v>92</v>
      </c>
      <c r="C51" s="117"/>
      <c r="D51" s="117">
        <f>D49-D50</f>
        <v>-5909</v>
      </c>
      <c r="E51" s="118">
        <f>E49-E50</f>
        <v>-7762</v>
      </c>
      <c r="I51" s="160">
        <f>P51</f>
        <v>0</v>
      </c>
      <c r="K51" s="129" t="s">
        <v>92</v>
      </c>
      <c r="M51" s="146"/>
      <c r="N51" s="146">
        <f>N49-N50</f>
        <v>-6000</v>
      </c>
      <c r="O51" s="150">
        <f>O49-O50</f>
        <v>-8000</v>
      </c>
    </row>
    <row r="52" spans="1:17" ht="12.75">
      <c r="A52" s="46" t="s">
        <v>93</v>
      </c>
      <c r="C52" s="117"/>
      <c r="D52" s="117">
        <f>D49</f>
        <v>25364</v>
      </c>
      <c r="E52" s="118">
        <f>E49</f>
        <v>23042</v>
      </c>
      <c r="F52" s="156">
        <f>SUM(C52:E52)</f>
        <v>48406</v>
      </c>
      <c r="G52" s="148" t="s">
        <v>94</v>
      </c>
      <c r="H52" s="148"/>
      <c r="I52" s="160">
        <f>P52</f>
        <v>49500</v>
      </c>
      <c r="K52" s="129" t="s">
        <v>93</v>
      </c>
      <c r="M52" s="146"/>
      <c r="N52" s="146">
        <f>N49</f>
        <v>25750</v>
      </c>
      <c r="O52" s="150">
        <f>O49</f>
        <v>23750</v>
      </c>
      <c r="P52" s="149">
        <f>SUM(M52:O52)</f>
        <v>49500</v>
      </c>
      <c r="Q52" s="129" t="s">
        <v>94</v>
      </c>
    </row>
    <row r="53" spans="1:17" ht="12.75">
      <c r="A53" s="46" t="s">
        <v>95</v>
      </c>
      <c r="C53" s="119"/>
      <c r="D53" s="119">
        <f>-D50</f>
        <v>-31273</v>
      </c>
      <c r="E53" s="120">
        <f>-E50</f>
        <v>-30804</v>
      </c>
      <c r="F53" s="157">
        <f>SUM(C53:E53)</f>
        <v>-62077</v>
      </c>
      <c r="G53" s="148" t="s">
        <v>96</v>
      </c>
      <c r="H53" s="148"/>
      <c r="I53" s="160">
        <f>P53</f>
        <v>-63500</v>
      </c>
      <c r="K53" s="129" t="s">
        <v>95</v>
      </c>
      <c r="M53" s="151"/>
      <c r="N53" s="151">
        <f>-N50</f>
        <v>-31750</v>
      </c>
      <c r="O53" s="152">
        <f>-O50</f>
        <v>-31750</v>
      </c>
      <c r="P53" s="153">
        <f>SUM(M53:O53)</f>
        <v>-63500</v>
      </c>
      <c r="Q53" s="129" t="s">
        <v>96</v>
      </c>
    </row>
    <row r="54" spans="1:17" ht="12.75">
      <c r="A54" s="46" t="s">
        <v>97</v>
      </c>
      <c r="C54" s="119"/>
      <c r="D54" s="119">
        <f>-D51</f>
        <v>5909</v>
      </c>
      <c r="E54" s="120">
        <f>-E51</f>
        <v>7762</v>
      </c>
      <c r="F54" s="157">
        <f>SUM(C54:E54)</f>
        <v>13671</v>
      </c>
      <c r="G54" s="128" t="s">
        <v>98</v>
      </c>
      <c r="I54" s="160">
        <f>P54</f>
        <v>14000</v>
      </c>
      <c r="K54" s="129" t="s">
        <v>97</v>
      </c>
      <c r="M54" s="151"/>
      <c r="N54" s="151">
        <f>-N51</f>
        <v>6000</v>
      </c>
      <c r="O54" s="152">
        <f>-O51</f>
        <v>8000</v>
      </c>
      <c r="P54" s="153">
        <f>SUM(M54:O54)</f>
        <v>14000</v>
      </c>
      <c r="Q54" s="36" t="s">
        <v>98</v>
      </c>
    </row>
    <row r="55" spans="6:37" s="139" customFormat="1" ht="12.75">
      <c r="F55" s="155"/>
      <c r="I55" s="16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15" ht="12.75">
      <c r="A56" s="111">
        <v>36616</v>
      </c>
      <c r="E56" s="110"/>
      <c r="I56" s="160"/>
      <c r="K56" s="133">
        <v>36616</v>
      </c>
      <c r="O56" s="132"/>
    </row>
    <row r="57" spans="1:15" ht="12.75">
      <c r="A57" t="s">
        <v>86</v>
      </c>
      <c r="D57" s="114">
        <v>7.1</v>
      </c>
      <c r="E57" s="115">
        <v>7.17</v>
      </c>
      <c r="I57" s="160"/>
      <c r="K57" s="36" t="s">
        <v>86</v>
      </c>
      <c r="N57" s="136">
        <v>7.1</v>
      </c>
      <c r="O57" s="137">
        <v>7.17</v>
      </c>
    </row>
    <row r="58" spans="1:15" ht="12.75">
      <c r="A58" t="s">
        <v>87</v>
      </c>
      <c r="D58" s="114">
        <v>7.06</v>
      </c>
      <c r="E58" s="114">
        <v>7.06</v>
      </c>
      <c r="I58" s="160"/>
      <c r="K58" s="36" t="s">
        <v>87</v>
      </c>
      <c r="N58" s="136">
        <v>7.06</v>
      </c>
      <c r="O58" s="136">
        <v>7.06</v>
      </c>
    </row>
    <row r="59" spans="1:16" ht="12.75">
      <c r="A59" s="46" t="s">
        <v>88</v>
      </c>
      <c r="D59" s="90">
        <f>$A56-$A$7</f>
        <v>105</v>
      </c>
      <c r="E59" s="90">
        <f>$A56-$A$7</f>
        <v>105</v>
      </c>
      <c r="F59" s="154" t="s">
        <v>5</v>
      </c>
      <c r="I59" s="160"/>
      <c r="K59" s="129" t="s">
        <v>88</v>
      </c>
      <c r="N59" s="145">
        <f>$A56-$A$7</f>
        <v>105</v>
      </c>
      <c r="O59" s="145">
        <f>$A56-$A$7</f>
        <v>105</v>
      </c>
      <c r="P59" s="36" t="s">
        <v>5</v>
      </c>
    </row>
    <row r="60" spans="1:15" ht="12.75">
      <c r="A60" s="46" t="s">
        <v>89</v>
      </c>
      <c r="C60" s="117"/>
      <c r="D60" s="117">
        <f>ROUND(-(((D$8-D57)*$B$6)/((1+$C$1)^(D$10-D59))),0)</f>
        <v>25916</v>
      </c>
      <c r="E60" s="117">
        <f>ROUND(-(((E$8-E57)*$B$6)/((1+$C$1)^(E$10-E59))),0)</f>
        <v>23582</v>
      </c>
      <c r="I60" s="160"/>
      <c r="K60" s="129" t="s">
        <v>89</v>
      </c>
      <c r="M60" s="146"/>
      <c r="N60" s="146">
        <f>ROUND(-(((N$8-N57)*$B$6)/((1+$M$1)^(N$10-N59))),0)</f>
        <v>26250</v>
      </c>
      <c r="O60" s="146">
        <f>ROUND(-(((O$8-O57)*$B$6)/((1+$M$1)^(O$10-O59))),0)</f>
        <v>24250</v>
      </c>
    </row>
    <row r="61" spans="1:16" ht="12.75">
      <c r="A61" s="46" t="s">
        <v>90</v>
      </c>
      <c r="C61" s="117"/>
      <c r="D61" s="117">
        <f>ROUND(-(((D$9-D58)*$B$6)/((1+$C$1)^(D$10-D59))),0)</f>
        <v>32333</v>
      </c>
      <c r="E61" s="117">
        <f>ROUND(-(((E$9-E58)*$B$6)/((1+$C$1)^(E$10-E59))),0)</f>
        <v>31848</v>
      </c>
      <c r="F61" s="141" t="s">
        <v>91</v>
      </c>
      <c r="I61" s="160" t="str">
        <f>P61</f>
        <v>Dr/(Cr)</v>
      </c>
      <c r="K61" s="129" t="s">
        <v>90</v>
      </c>
      <c r="M61" s="146"/>
      <c r="N61" s="146">
        <f>ROUND(-(((N$9-N58)*$B$6)/((1+$M$1)^(N$10-N59))),0)</f>
        <v>32750</v>
      </c>
      <c r="O61" s="146">
        <f>ROUND(-(((O$9-O58)*$B$6)/((1+$M$1)^(O$10-O59))),0)</f>
        <v>32750</v>
      </c>
      <c r="P61" s="147" t="s">
        <v>91</v>
      </c>
    </row>
    <row r="62" spans="1:15" ht="12.75">
      <c r="A62" s="46" t="s">
        <v>92</v>
      </c>
      <c r="C62" s="117"/>
      <c r="D62" s="117">
        <f>D60-D61</f>
        <v>-6417</v>
      </c>
      <c r="E62" s="118">
        <f>E60-E61</f>
        <v>-8266</v>
      </c>
      <c r="I62" s="160">
        <f>P62</f>
        <v>0</v>
      </c>
      <c r="K62" s="129" t="s">
        <v>92</v>
      </c>
      <c r="M62" s="146"/>
      <c r="N62" s="146">
        <f>N60-N61</f>
        <v>-6500</v>
      </c>
      <c r="O62" s="150">
        <f>O60-O61</f>
        <v>-8500</v>
      </c>
    </row>
    <row r="63" spans="1:17" ht="12.75">
      <c r="A63" s="46" t="s">
        <v>93</v>
      </c>
      <c r="C63" s="117"/>
      <c r="D63" s="117">
        <f>D60</f>
        <v>25916</v>
      </c>
      <c r="E63" s="118">
        <f>E60</f>
        <v>23582</v>
      </c>
      <c r="F63" s="156">
        <f>SUM(C63:E63)</f>
        <v>49498</v>
      </c>
      <c r="G63" s="148" t="s">
        <v>94</v>
      </c>
      <c r="H63" s="148"/>
      <c r="I63" s="160">
        <f>P63</f>
        <v>50500</v>
      </c>
      <c r="K63" s="129" t="s">
        <v>93</v>
      </c>
      <c r="M63" s="146"/>
      <c r="N63" s="146">
        <f>N60</f>
        <v>26250</v>
      </c>
      <c r="O63" s="150">
        <f>O60</f>
        <v>24250</v>
      </c>
      <c r="P63" s="149">
        <f>SUM(M63:O63)</f>
        <v>50500</v>
      </c>
      <c r="Q63" s="129" t="s">
        <v>94</v>
      </c>
    </row>
    <row r="64" spans="1:17" ht="12.75">
      <c r="A64" s="46" t="s">
        <v>95</v>
      </c>
      <c r="C64" s="119"/>
      <c r="D64" s="119">
        <f>-D61</f>
        <v>-32333</v>
      </c>
      <c r="E64" s="120">
        <f>-E61</f>
        <v>-31848</v>
      </c>
      <c r="F64" s="157">
        <f>SUM(C64:E64)</f>
        <v>-64181</v>
      </c>
      <c r="G64" s="148" t="s">
        <v>96</v>
      </c>
      <c r="H64" s="148"/>
      <c r="I64" s="160">
        <f>P64</f>
        <v>-65500</v>
      </c>
      <c r="K64" s="129" t="s">
        <v>95</v>
      </c>
      <c r="M64" s="151"/>
      <c r="N64" s="151">
        <f>-N61</f>
        <v>-32750</v>
      </c>
      <c r="O64" s="152">
        <f>-O61</f>
        <v>-32750</v>
      </c>
      <c r="P64" s="153">
        <f>SUM(M64:O64)</f>
        <v>-65500</v>
      </c>
      <c r="Q64" s="129" t="s">
        <v>96</v>
      </c>
    </row>
    <row r="65" spans="1:17" ht="12.75">
      <c r="A65" s="46" t="s">
        <v>97</v>
      </c>
      <c r="C65" s="119"/>
      <c r="D65" s="119">
        <f>-D62</f>
        <v>6417</v>
      </c>
      <c r="E65" s="120">
        <f>-E62</f>
        <v>8266</v>
      </c>
      <c r="F65" s="157">
        <f>SUM(C65:E65)</f>
        <v>14683</v>
      </c>
      <c r="G65" s="128" t="s">
        <v>98</v>
      </c>
      <c r="I65" s="160">
        <f>P65</f>
        <v>15000</v>
      </c>
      <c r="K65" s="129" t="s">
        <v>97</v>
      </c>
      <c r="M65" s="151"/>
      <c r="N65" s="151">
        <f>-N62</f>
        <v>6500</v>
      </c>
      <c r="O65" s="152">
        <f>-O62</f>
        <v>8500</v>
      </c>
      <c r="P65" s="153">
        <f>SUM(M65:O65)</f>
        <v>15000</v>
      </c>
      <c r="Q65" s="36" t="s">
        <v>98</v>
      </c>
    </row>
    <row r="66" spans="6:37" s="139" customFormat="1" ht="12.75">
      <c r="F66" s="155"/>
      <c r="I66" s="16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15" ht="12.75">
      <c r="A67" s="111">
        <v>36646</v>
      </c>
      <c r="E67" s="110"/>
      <c r="I67" s="160"/>
      <c r="K67" s="133">
        <v>36646</v>
      </c>
      <c r="O67" s="132"/>
    </row>
    <row r="68" spans="1:15" ht="12.75">
      <c r="A68" t="s">
        <v>86</v>
      </c>
      <c r="D68" s="114">
        <v>7.12</v>
      </c>
      <c r="E68" s="115">
        <v>7.2</v>
      </c>
      <c r="I68" s="160"/>
      <c r="K68" s="36" t="s">
        <v>86</v>
      </c>
      <c r="N68" s="136">
        <v>7.12</v>
      </c>
      <c r="O68" s="137">
        <v>7.2</v>
      </c>
    </row>
    <row r="69" spans="1:15" ht="12.75">
      <c r="A69" t="s">
        <v>87</v>
      </c>
      <c r="D69" s="114">
        <v>7.09</v>
      </c>
      <c r="E69" s="114">
        <v>7.09</v>
      </c>
      <c r="I69" s="160"/>
      <c r="K69" s="36" t="s">
        <v>87</v>
      </c>
      <c r="N69" s="136">
        <v>7.09</v>
      </c>
      <c r="O69" s="136">
        <v>7.09</v>
      </c>
    </row>
    <row r="70" spans="1:16" ht="12.75">
      <c r="A70" s="46" t="s">
        <v>88</v>
      </c>
      <c r="D70" s="90">
        <f>$A67-$A$7</f>
        <v>135</v>
      </c>
      <c r="E70" s="90">
        <f>$A67-$A$7</f>
        <v>135</v>
      </c>
      <c r="F70" s="154" t="s">
        <v>5</v>
      </c>
      <c r="I70" s="160"/>
      <c r="K70" s="129" t="s">
        <v>88</v>
      </c>
      <c r="N70" s="145">
        <f>$A67-$A$7</f>
        <v>135</v>
      </c>
      <c r="O70" s="145">
        <f>$A67-$A$7</f>
        <v>135</v>
      </c>
      <c r="P70" s="36" t="s">
        <v>5</v>
      </c>
    </row>
    <row r="71" spans="1:15" ht="12.75">
      <c r="A71" s="46" t="s">
        <v>89</v>
      </c>
      <c r="C71" s="117"/>
      <c r="D71" s="117">
        <f>ROUND(-(((D$8-D68)*$B$6)/((1+$C$1)^(D$10-D70))),0)</f>
        <v>26540</v>
      </c>
      <c r="E71" s="117">
        <f>ROUND(-(((E$8-E68)*$B$6)/((1+$C$1)^(E$10-E70))),0)</f>
        <v>24431</v>
      </c>
      <c r="I71" s="160"/>
      <c r="K71" s="129" t="s">
        <v>89</v>
      </c>
      <c r="M71" s="146"/>
      <c r="N71" s="146">
        <f>ROUND(-(((N$8-N68)*$B$6)/((1+$M$1)^(N$10-N70))),0)</f>
        <v>26750</v>
      </c>
      <c r="O71" s="146">
        <f>ROUND(-(((O$8-O68)*$B$6)/((1+$M$1)^(O$10-O70))),0)</f>
        <v>25000</v>
      </c>
    </row>
    <row r="72" spans="1:16" ht="12.75">
      <c r="A72" s="46" t="s">
        <v>90</v>
      </c>
      <c r="C72" s="117"/>
      <c r="D72" s="117">
        <f>ROUND(-(((D$9-D69)*$B$6)/((1+$C$1)^(D$10-D70))),0)</f>
        <v>33237</v>
      </c>
      <c r="E72" s="117">
        <f>ROUND(-(((E$9-E69)*$B$6)/((1+$C$1)^(E$10-E70))),0)</f>
        <v>32738</v>
      </c>
      <c r="F72" s="141" t="s">
        <v>91</v>
      </c>
      <c r="I72" s="160" t="str">
        <f>P72</f>
        <v>Dr/(Cr)</v>
      </c>
      <c r="K72" s="129" t="s">
        <v>90</v>
      </c>
      <c r="M72" s="146"/>
      <c r="N72" s="146">
        <f>ROUND(-(((N$9-N69)*$B$6)/((1+$M$1)^(N$10-N70))),0)</f>
        <v>33500</v>
      </c>
      <c r="O72" s="146">
        <f>ROUND(-(((O$9-O69)*$B$6)/((1+$M$1)^(O$10-O70))),0)</f>
        <v>33500</v>
      </c>
      <c r="P72" s="147" t="s">
        <v>91</v>
      </c>
    </row>
    <row r="73" spans="1:15" ht="12.75">
      <c r="A73" s="46" t="s">
        <v>92</v>
      </c>
      <c r="C73" s="117"/>
      <c r="D73" s="117">
        <f>D71-D72</f>
        <v>-6697</v>
      </c>
      <c r="E73" s="118">
        <f>E71-E72</f>
        <v>-8307</v>
      </c>
      <c r="I73" s="160">
        <f>P73</f>
        <v>0</v>
      </c>
      <c r="K73" s="129" t="s">
        <v>92</v>
      </c>
      <c r="M73" s="146"/>
      <c r="N73" s="146">
        <f>N71-N72</f>
        <v>-6750</v>
      </c>
      <c r="O73" s="150">
        <f>O71-O72</f>
        <v>-8500</v>
      </c>
    </row>
    <row r="74" spans="1:17" ht="12.75">
      <c r="A74" s="46" t="s">
        <v>93</v>
      </c>
      <c r="C74" s="117"/>
      <c r="D74" s="117">
        <f>D71</f>
        <v>26540</v>
      </c>
      <c r="E74" s="118">
        <f>E71</f>
        <v>24431</v>
      </c>
      <c r="F74" s="156">
        <f>SUM(C74:E74)</f>
        <v>50971</v>
      </c>
      <c r="G74" s="148" t="s">
        <v>94</v>
      </c>
      <c r="H74" s="148"/>
      <c r="I74" s="160">
        <f>P74</f>
        <v>51750</v>
      </c>
      <c r="K74" s="129" t="s">
        <v>93</v>
      </c>
      <c r="M74" s="146"/>
      <c r="N74" s="146">
        <f>N71</f>
        <v>26750</v>
      </c>
      <c r="O74" s="150">
        <f>O71</f>
        <v>25000</v>
      </c>
      <c r="P74" s="149">
        <f>SUM(M74:O74)</f>
        <v>51750</v>
      </c>
      <c r="Q74" s="129" t="s">
        <v>94</v>
      </c>
    </row>
    <row r="75" spans="1:17" ht="12.75">
      <c r="A75" s="46" t="s">
        <v>95</v>
      </c>
      <c r="C75" s="119"/>
      <c r="D75" s="119">
        <f>-D72</f>
        <v>-33237</v>
      </c>
      <c r="E75" s="120">
        <f>-E72</f>
        <v>-32738</v>
      </c>
      <c r="F75" s="157">
        <f>SUM(C75:E75)</f>
        <v>-65975</v>
      </c>
      <c r="G75" s="148" t="s">
        <v>96</v>
      </c>
      <c r="H75" s="148"/>
      <c r="I75" s="160">
        <f>P75</f>
        <v>-67000</v>
      </c>
      <c r="K75" s="129" t="s">
        <v>95</v>
      </c>
      <c r="M75" s="151"/>
      <c r="N75" s="151">
        <f>-N72</f>
        <v>-33500</v>
      </c>
      <c r="O75" s="152">
        <f>-O72</f>
        <v>-33500</v>
      </c>
      <c r="P75" s="153">
        <f>SUM(M75:O75)</f>
        <v>-67000</v>
      </c>
      <c r="Q75" s="129" t="s">
        <v>96</v>
      </c>
    </row>
    <row r="76" spans="1:17" ht="12.75">
      <c r="A76" s="46" t="s">
        <v>97</v>
      </c>
      <c r="C76" s="119"/>
      <c r="D76" s="119">
        <f>-D73</f>
        <v>6697</v>
      </c>
      <c r="E76" s="120">
        <f>-E73</f>
        <v>8307</v>
      </c>
      <c r="F76" s="157">
        <f>SUM(C76:E76)</f>
        <v>15004</v>
      </c>
      <c r="G76" s="128" t="s">
        <v>98</v>
      </c>
      <c r="I76" s="160">
        <f>P76</f>
        <v>15250</v>
      </c>
      <c r="K76" s="129" t="s">
        <v>97</v>
      </c>
      <c r="M76" s="151"/>
      <c r="N76" s="151">
        <f>-N73</f>
        <v>6750</v>
      </c>
      <c r="O76" s="152">
        <f>-O73</f>
        <v>8500</v>
      </c>
      <c r="P76" s="153">
        <f>SUM(M76:O76)</f>
        <v>15250</v>
      </c>
      <c r="Q76" s="36" t="s">
        <v>98</v>
      </c>
    </row>
    <row r="77" spans="6:37" s="139" customFormat="1" ht="12.75">
      <c r="F77" s="155"/>
      <c r="I77" s="16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15" ht="12.75">
      <c r="A78" s="111">
        <v>36677</v>
      </c>
      <c r="E78" s="110"/>
      <c r="I78" s="160"/>
      <c r="K78" s="133">
        <v>36677</v>
      </c>
      <c r="O78" s="132"/>
    </row>
    <row r="79" spans="1:15" ht="12.75">
      <c r="A79" t="s">
        <v>86</v>
      </c>
      <c r="D79" s="114">
        <v>7.14</v>
      </c>
      <c r="E79" s="115">
        <v>7.23</v>
      </c>
      <c r="I79" s="160"/>
      <c r="K79" s="36" t="s">
        <v>86</v>
      </c>
      <c r="N79" s="136">
        <v>7.14</v>
      </c>
      <c r="O79" s="137">
        <v>7.23</v>
      </c>
    </row>
    <row r="80" spans="1:15" ht="12.75">
      <c r="A80" t="s">
        <v>87</v>
      </c>
      <c r="D80" s="114">
        <v>7.12</v>
      </c>
      <c r="E80" s="114">
        <v>7.12</v>
      </c>
      <c r="I80" s="160"/>
      <c r="K80" s="36" t="s">
        <v>87</v>
      </c>
      <c r="N80" s="136">
        <v>7.12</v>
      </c>
      <c r="O80" s="136">
        <v>7.12</v>
      </c>
    </row>
    <row r="81" spans="1:16" ht="12.75">
      <c r="A81" s="46" t="s">
        <v>88</v>
      </c>
      <c r="D81" s="90">
        <f>$A78-$A$7</f>
        <v>166</v>
      </c>
      <c r="E81" s="90">
        <f>$A78-$A$7</f>
        <v>166</v>
      </c>
      <c r="F81" s="154" t="s">
        <v>5</v>
      </c>
      <c r="I81" s="160"/>
      <c r="K81" s="129" t="s">
        <v>88</v>
      </c>
      <c r="N81" s="145">
        <f>$A78-$A$7</f>
        <v>166</v>
      </c>
      <c r="O81" s="145">
        <f>$A78-$A$7</f>
        <v>166</v>
      </c>
      <c r="P81" s="36" t="s">
        <v>5</v>
      </c>
    </row>
    <row r="82" spans="1:15" ht="12.75">
      <c r="A82" s="46" t="s">
        <v>89</v>
      </c>
      <c r="C82" s="117"/>
      <c r="D82" s="117">
        <f>ROUND(-(((D$8-D79)*$B$6)/((1+$C$1)^(D$10-D81))),0)</f>
        <v>27174</v>
      </c>
      <c r="E82" s="117">
        <f>ROUND(-(((E$8-E79)*$B$6)/((1+$C$1)^(E$10-E81))),0)</f>
        <v>25293</v>
      </c>
      <c r="I82" s="160"/>
      <c r="K82" s="129" t="s">
        <v>89</v>
      </c>
      <c r="M82" s="146"/>
      <c r="N82" s="146">
        <f>ROUND(-(((N$9-N79)*$B$6)/((1+$M$1)^(N$10-N80))),0)</f>
        <v>34750</v>
      </c>
      <c r="O82" s="146">
        <f>ROUND(-(((O$9-O79)*$B$6)/((1+$M$1)^(O$10-O80))),0)</f>
        <v>37000</v>
      </c>
    </row>
    <row r="83" spans="1:16" ht="12.75">
      <c r="A83" s="46" t="s">
        <v>90</v>
      </c>
      <c r="C83" s="117"/>
      <c r="D83" s="117">
        <f>ROUND(-(((D$9-D80)*$B$6)/((1+$C$1)^(D$10-D81))),0)</f>
        <v>34154</v>
      </c>
      <c r="E83" s="117">
        <f>ROUND(-(((E$9-E80)*$B$6)/((1+$C$1)^(E$10-E81))),0)</f>
        <v>33642</v>
      </c>
      <c r="F83" s="141" t="s">
        <v>91</v>
      </c>
      <c r="I83" s="160" t="str">
        <f>P83</f>
        <v>Dr/(Cr)</v>
      </c>
      <c r="K83" s="129" t="s">
        <v>90</v>
      </c>
      <c r="M83" s="146"/>
      <c r="N83" s="146">
        <f>ROUND(-(((N$9-N80)*$B$6)/((1+$C$1)^(N$10-N81))),0)</f>
        <v>34154</v>
      </c>
      <c r="O83" s="146">
        <f>ROUND(-(((O$9-O80)*$B$6)/((1+$M$1)^(O$10-O81))),0)</f>
        <v>34250</v>
      </c>
      <c r="P83" s="147" t="s">
        <v>91</v>
      </c>
    </row>
    <row r="84" spans="1:15" ht="12.75">
      <c r="A84" s="46" t="s">
        <v>92</v>
      </c>
      <c r="C84" s="117"/>
      <c r="D84" s="117">
        <f>D82-D83</f>
        <v>-6980</v>
      </c>
      <c r="E84" s="118">
        <f>E82-E83</f>
        <v>-8349</v>
      </c>
      <c r="I84" s="160">
        <f>P84</f>
        <v>0</v>
      </c>
      <c r="K84" s="129" t="s">
        <v>92</v>
      </c>
      <c r="M84" s="146"/>
      <c r="N84" s="146">
        <f>N82-N83</f>
        <v>596</v>
      </c>
      <c r="O84" s="150">
        <f>O82-O83</f>
        <v>2750</v>
      </c>
    </row>
    <row r="85" spans="1:17" ht="12.75">
      <c r="A85" s="46" t="s">
        <v>93</v>
      </c>
      <c r="C85" s="117"/>
      <c r="D85" s="117">
        <f>D82</f>
        <v>27174</v>
      </c>
      <c r="E85" s="118">
        <f>E82</f>
        <v>25293</v>
      </c>
      <c r="F85" s="156">
        <f>SUM(C85:E85)</f>
        <v>52467</v>
      </c>
      <c r="G85" s="148" t="s">
        <v>94</v>
      </c>
      <c r="H85" s="148"/>
      <c r="I85" s="160">
        <f>P85</f>
        <v>71750</v>
      </c>
      <c r="K85" s="129" t="s">
        <v>93</v>
      </c>
      <c r="M85" s="146"/>
      <c r="N85" s="146">
        <f>N82</f>
        <v>34750</v>
      </c>
      <c r="O85" s="150">
        <f>O82</f>
        <v>37000</v>
      </c>
      <c r="P85" s="149">
        <f>SUM(M85:O85)</f>
        <v>71750</v>
      </c>
      <c r="Q85" s="129" t="s">
        <v>94</v>
      </c>
    </row>
    <row r="86" spans="1:17" ht="12.75">
      <c r="A86" s="46" t="s">
        <v>95</v>
      </c>
      <c r="C86" s="119"/>
      <c r="D86" s="119">
        <f>-D83</f>
        <v>-34154</v>
      </c>
      <c r="E86" s="120">
        <f>-E83</f>
        <v>-33642</v>
      </c>
      <c r="F86" s="157">
        <f>SUM(C86:E86)</f>
        <v>-67796</v>
      </c>
      <c r="G86" s="148" t="s">
        <v>96</v>
      </c>
      <c r="H86" s="148"/>
      <c r="I86" s="160">
        <f>P86</f>
        <v>-68404</v>
      </c>
      <c r="K86" s="129" t="s">
        <v>95</v>
      </c>
      <c r="M86" s="151"/>
      <c r="N86" s="151">
        <f>-N83</f>
        <v>-34154</v>
      </c>
      <c r="O86" s="152">
        <f>-O83</f>
        <v>-34250</v>
      </c>
      <c r="P86" s="153">
        <f>SUM(M86:O86)</f>
        <v>-68404</v>
      </c>
      <c r="Q86" s="129" t="s">
        <v>96</v>
      </c>
    </row>
    <row r="87" spans="1:17" ht="12.75">
      <c r="A87" s="46" t="s">
        <v>97</v>
      </c>
      <c r="C87" s="119"/>
      <c r="D87" s="119">
        <f>-D84</f>
        <v>6980</v>
      </c>
      <c r="E87" s="120">
        <f>-E84</f>
        <v>8349</v>
      </c>
      <c r="F87" s="157">
        <f>SUM(C87:E87)</f>
        <v>15329</v>
      </c>
      <c r="G87" s="128" t="s">
        <v>98</v>
      </c>
      <c r="I87" s="160">
        <f>P87</f>
        <v>-3346</v>
      </c>
      <c r="K87" s="129" t="s">
        <v>97</v>
      </c>
      <c r="M87" s="151"/>
      <c r="N87" s="151">
        <f>-N84</f>
        <v>-596</v>
      </c>
      <c r="O87" s="152">
        <f>-O84</f>
        <v>-2750</v>
      </c>
      <c r="P87" s="153">
        <f>SUM(M87:O87)</f>
        <v>-3346</v>
      </c>
      <c r="Q87" s="36" t="s">
        <v>98</v>
      </c>
    </row>
    <row r="88" spans="6:37" s="139" customFormat="1" ht="12.75">
      <c r="F88" s="155"/>
      <c r="I88" s="16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15" ht="12.75">
      <c r="A89" s="111">
        <v>36694</v>
      </c>
      <c r="E89" s="110"/>
      <c r="I89" s="160"/>
      <c r="K89" s="133">
        <v>36694</v>
      </c>
      <c r="O89" s="132"/>
    </row>
    <row r="90" spans="1:15" ht="12.75">
      <c r="A90" t="s">
        <v>86</v>
      </c>
      <c r="D90" s="114"/>
      <c r="E90" s="115">
        <v>7.25</v>
      </c>
      <c r="I90" s="160"/>
      <c r="K90" s="36" t="s">
        <v>86</v>
      </c>
      <c r="N90" s="136"/>
      <c r="O90" s="137">
        <v>7.25</v>
      </c>
    </row>
    <row r="91" spans="1:15" ht="12.75">
      <c r="A91" t="s">
        <v>87</v>
      </c>
      <c r="D91" s="114"/>
      <c r="E91" s="114">
        <v>7.2</v>
      </c>
      <c r="I91" s="160"/>
      <c r="K91" s="36" t="s">
        <v>87</v>
      </c>
      <c r="N91" s="136"/>
      <c r="O91" s="136">
        <v>7.2</v>
      </c>
    </row>
    <row r="92" spans="1:16" ht="12.75">
      <c r="A92" s="46" t="s">
        <v>88</v>
      </c>
      <c r="D92" s="90"/>
      <c r="E92" s="90">
        <f>$A89-$A$7</f>
        <v>183</v>
      </c>
      <c r="F92" s="154" t="s">
        <v>5</v>
      </c>
      <c r="I92" s="160"/>
      <c r="K92" s="129" t="s">
        <v>88</v>
      </c>
      <c r="N92" s="145"/>
      <c r="O92" s="145">
        <f>$A89-$A$7</f>
        <v>183</v>
      </c>
      <c r="P92" s="36" t="s">
        <v>5</v>
      </c>
    </row>
    <row r="93" spans="1:15" ht="12.75">
      <c r="A93" s="46" t="s">
        <v>89</v>
      </c>
      <c r="C93" s="117"/>
      <c r="D93" s="117"/>
      <c r="E93" s="117">
        <f>ROUND(-(((E$8-E90)*$B$6)/((1+$C$1)^(E$10-E92))),0)</f>
        <v>25856</v>
      </c>
      <c r="I93" s="160"/>
      <c r="K93" s="129" t="s">
        <v>89</v>
      </c>
      <c r="M93" s="146"/>
      <c r="N93" s="146"/>
      <c r="O93" s="146">
        <f>ROUND(-(((O$8-O90)*$B$6)/((1+$M$1)^(O$10-O92))),0)</f>
        <v>26250</v>
      </c>
    </row>
    <row r="94" spans="1:16" ht="12.75">
      <c r="A94" s="46" t="s">
        <v>90</v>
      </c>
      <c r="C94" s="117"/>
      <c r="D94" s="117"/>
      <c r="E94" s="117">
        <f>ROUND(-(((E$9-E91)*$B$6)/((1+$C$1)^(E$10-E92))),0)</f>
        <v>35706</v>
      </c>
      <c r="F94" s="141" t="s">
        <v>91</v>
      </c>
      <c r="I94" s="160" t="str">
        <f>P94</f>
        <v>Dr/(Cr)</v>
      </c>
      <c r="K94" s="129" t="s">
        <v>90</v>
      </c>
      <c r="M94" s="146"/>
      <c r="N94" s="146"/>
      <c r="O94" s="146">
        <f>ROUND(-(((O$9-O91)*$B$6)/((1+$M$1)^(O$10-O92))),0)</f>
        <v>36250</v>
      </c>
      <c r="P94" s="147" t="s">
        <v>91</v>
      </c>
    </row>
    <row r="95" spans="1:15" ht="12.75">
      <c r="A95" s="46" t="s">
        <v>92</v>
      </c>
      <c r="C95" s="117"/>
      <c r="D95" s="117"/>
      <c r="E95" s="118">
        <f>E93-E94</f>
        <v>-9850</v>
      </c>
      <c r="I95" s="160">
        <f>P95</f>
        <v>0</v>
      </c>
      <c r="K95" s="129" t="s">
        <v>92</v>
      </c>
      <c r="M95" s="146"/>
      <c r="N95" s="146"/>
      <c r="O95" s="150">
        <f>O93-O94</f>
        <v>-10000</v>
      </c>
    </row>
    <row r="96" spans="1:17" ht="12.75">
      <c r="A96" s="46" t="s">
        <v>93</v>
      </c>
      <c r="C96" s="117"/>
      <c r="D96" s="117"/>
      <c r="E96" s="118">
        <f>E93</f>
        <v>25856</v>
      </c>
      <c r="F96" s="156">
        <f>SUM(C96:E96)</f>
        <v>25856</v>
      </c>
      <c r="G96" s="148" t="s">
        <v>94</v>
      </c>
      <c r="H96" s="148"/>
      <c r="I96" s="160">
        <f>P96</f>
        <v>26250</v>
      </c>
      <c r="K96" s="129" t="s">
        <v>93</v>
      </c>
      <c r="M96" s="146"/>
      <c r="N96" s="146"/>
      <c r="O96" s="150">
        <f>O93</f>
        <v>26250</v>
      </c>
      <c r="P96" s="149">
        <f>SUM(M96:O96)</f>
        <v>26250</v>
      </c>
      <c r="Q96" s="129" t="s">
        <v>94</v>
      </c>
    </row>
    <row r="97" spans="1:17" ht="12.75">
      <c r="A97" s="46" t="s">
        <v>95</v>
      </c>
      <c r="C97" s="119"/>
      <c r="D97" s="119"/>
      <c r="E97" s="120">
        <f>-E94</f>
        <v>-35706</v>
      </c>
      <c r="F97" s="157">
        <f>SUM(C97:E97)</f>
        <v>-35706</v>
      </c>
      <c r="G97" s="148" t="s">
        <v>96</v>
      </c>
      <c r="H97" s="148"/>
      <c r="I97" s="160">
        <f>P97</f>
        <v>-36250</v>
      </c>
      <c r="K97" s="129" t="s">
        <v>95</v>
      </c>
      <c r="M97" s="151"/>
      <c r="N97" s="151"/>
      <c r="O97" s="152">
        <f>-O94</f>
        <v>-36250</v>
      </c>
      <c r="P97" s="153">
        <f>SUM(M97:O97)</f>
        <v>-36250</v>
      </c>
      <c r="Q97" s="129" t="s">
        <v>96</v>
      </c>
    </row>
    <row r="98" spans="1:17" ht="12.75">
      <c r="A98" s="46" t="s">
        <v>97</v>
      </c>
      <c r="C98" s="119"/>
      <c r="D98" s="119"/>
      <c r="E98" s="120">
        <f>-E95</f>
        <v>9850</v>
      </c>
      <c r="F98" s="157">
        <f>SUM(C98:E98)</f>
        <v>9850</v>
      </c>
      <c r="G98" s="128" t="s">
        <v>98</v>
      </c>
      <c r="I98" s="160">
        <f>P98</f>
        <v>10000</v>
      </c>
      <c r="K98" s="129" t="s">
        <v>97</v>
      </c>
      <c r="M98" s="151"/>
      <c r="N98" s="151"/>
      <c r="O98" s="152">
        <f>-O95</f>
        <v>10000</v>
      </c>
      <c r="P98" s="153">
        <f>SUM(M98:O98)</f>
        <v>10000</v>
      </c>
      <c r="Q98" s="36" t="s">
        <v>98</v>
      </c>
    </row>
    <row r="99" spans="6:37" s="139" customFormat="1" ht="12.75">
      <c r="F99" s="155"/>
      <c r="I99" s="161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15" ht="12.75">
      <c r="A100" s="111">
        <v>36707</v>
      </c>
      <c r="E100" s="110"/>
      <c r="I100" s="160"/>
      <c r="K100" s="133">
        <v>36707</v>
      </c>
      <c r="O100" s="132"/>
    </row>
    <row r="101" spans="1:15" ht="12.75">
      <c r="A101" t="s">
        <v>86</v>
      </c>
      <c r="D101" s="114"/>
      <c r="E101" s="115">
        <v>7.28</v>
      </c>
      <c r="I101" s="160"/>
      <c r="K101" s="36" t="s">
        <v>86</v>
      </c>
      <c r="N101" s="136"/>
      <c r="O101" s="137">
        <v>7.28</v>
      </c>
    </row>
    <row r="102" spans="1:15" ht="12.75">
      <c r="A102" t="s">
        <v>87</v>
      </c>
      <c r="D102" s="114"/>
      <c r="E102" s="114">
        <v>7.26</v>
      </c>
      <c r="I102" s="160"/>
      <c r="K102" s="36" t="s">
        <v>87</v>
      </c>
      <c r="N102" s="136"/>
      <c r="O102" s="136">
        <v>7.26</v>
      </c>
    </row>
    <row r="103" spans="1:16" ht="12.75">
      <c r="A103" s="46" t="s">
        <v>88</v>
      </c>
      <c r="D103" s="90"/>
      <c r="E103" s="90">
        <f>$A100-$A$7</f>
        <v>196</v>
      </c>
      <c r="F103" s="154" t="s">
        <v>5</v>
      </c>
      <c r="I103" s="160" t="str">
        <f>P103</f>
        <v> </v>
      </c>
      <c r="K103" s="129" t="s">
        <v>88</v>
      </c>
      <c r="N103" s="145"/>
      <c r="O103" s="145">
        <f>$A100-$A$7</f>
        <v>196</v>
      </c>
      <c r="P103" s="36" t="s">
        <v>5</v>
      </c>
    </row>
    <row r="104" spans="1:15" ht="12.75">
      <c r="A104" s="46" t="s">
        <v>89</v>
      </c>
      <c r="C104" s="117"/>
      <c r="D104" s="117"/>
      <c r="E104" s="117">
        <f>ROUND(-(((E$8-E101)*$B$6)/((1+$C$1)^(E$10-E103))),0)</f>
        <v>26652</v>
      </c>
      <c r="I104" s="160"/>
      <c r="K104" s="129" t="s">
        <v>89</v>
      </c>
      <c r="M104" s="146"/>
      <c r="N104" s="146"/>
      <c r="O104" s="146">
        <f>ROUND(-(((O$8-O101)*$B$6)/((1+$M$1)^(O$10-O103))),0)</f>
        <v>27000</v>
      </c>
    </row>
    <row r="105" spans="1:16" ht="12.75">
      <c r="A105" s="46" t="s">
        <v>90</v>
      </c>
      <c r="C105" s="117"/>
      <c r="D105" s="117"/>
      <c r="E105" s="117">
        <f>ROUND(-(((E$9-E102)*$B$6)/((1+$C$1)^(E$10-E103))),0)</f>
        <v>37263</v>
      </c>
      <c r="F105" s="141" t="s">
        <v>91</v>
      </c>
      <c r="I105" s="160" t="str">
        <f>P105</f>
        <v>Dr/(Cr)</v>
      </c>
      <c r="K105" s="129" t="s">
        <v>90</v>
      </c>
      <c r="M105" s="146"/>
      <c r="N105" s="146"/>
      <c r="O105" s="146">
        <f>ROUND(-(((O$9-O102)*$B$6)/((1+$M$1)^(O$10-O103))),0)</f>
        <v>37750</v>
      </c>
      <c r="P105" s="147" t="s">
        <v>91</v>
      </c>
    </row>
    <row r="106" spans="1:15" ht="12.75">
      <c r="A106" s="46" t="s">
        <v>92</v>
      </c>
      <c r="C106" s="117"/>
      <c r="D106" s="117"/>
      <c r="E106" s="118">
        <f>E104-E105</f>
        <v>-10611</v>
      </c>
      <c r="I106" s="160">
        <f>P106</f>
        <v>0</v>
      </c>
      <c r="K106" s="129" t="s">
        <v>92</v>
      </c>
      <c r="M106" s="146"/>
      <c r="N106" s="146"/>
      <c r="O106" s="150">
        <f>O104-O105</f>
        <v>-10750</v>
      </c>
    </row>
    <row r="107" spans="1:17" ht="12.75">
      <c r="A107" s="46" t="s">
        <v>93</v>
      </c>
      <c r="C107" s="117"/>
      <c r="D107" s="117"/>
      <c r="E107" s="118">
        <f>E104</f>
        <v>26652</v>
      </c>
      <c r="F107" s="156">
        <f>SUM(C107:E107)</f>
        <v>26652</v>
      </c>
      <c r="G107" s="148" t="s">
        <v>94</v>
      </c>
      <c r="H107" s="148"/>
      <c r="I107" s="160">
        <f>P107</f>
        <v>27000</v>
      </c>
      <c r="K107" s="129" t="s">
        <v>93</v>
      </c>
      <c r="M107" s="146"/>
      <c r="N107" s="146"/>
      <c r="O107" s="150">
        <f>O104</f>
        <v>27000</v>
      </c>
      <c r="P107" s="149">
        <f>SUM(M107:O107)</f>
        <v>27000</v>
      </c>
      <c r="Q107" s="129" t="s">
        <v>94</v>
      </c>
    </row>
    <row r="108" spans="1:17" ht="12.75">
      <c r="A108" s="46" t="s">
        <v>95</v>
      </c>
      <c r="C108" s="119"/>
      <c r="D108" s="119"/>
      <c r="E108" s="120">
        <f>-E105</f>
        <v>-37263</v>
      </c>
      <c r="F108" s="157">
        <f>SUM(C108:E108)</f>
        <v>-37263</v>
      </c>
      <c r="G108" s="148" t="s">
        <v>96</v>
      </c>
      <c r="H108" s="148"/>
      <c r="I108" s="160">
        <f>P108</f>
        <v>-37750</v>
      </c>
      <c r="K108" s="129" t="s">
        <v>95</v>
      </c>
      <c r="M108" s="151"/>
      <c r="N108" s="151"/>
      <c r="O108" s="152">
        <f>-O105</f>
        <v>-37750</v>
      </c>
      <c r="P108" s="153">
        <f>SUM(M108:O108)</f>
        <v>-37750</v>
      </c>
      <c r="Q108" s="129" t="s">
        <v>96</v>
      </c>
    </row>
    <row r="109" spans="1:17" ht="12.75">
      <c r="A109" s="46" t="s">
        <v>97</v>
      </c>
      <c r="C109" s="119"/>
      <c r="D109" s="119"/>
      <c r="E109" s="120">
        <f>-E106</f>
        <v>10611</v>
      </c>
      <c r="F109" s="157">
        <f>SUM(C109:E109)</f>
        <v>10611</v>
      </c>
      <c r="G109" s="128" t="s">
        <v>98</v>
      </c>
      <c r="I109" s="160">
        <f>P109</f>
        <v>10750</v>
      </c>
      <c r="K109" s="129" t="s">
        <v>97</v>
      </c>
      <c r="M109" s="151"/>
      <c r="N109" s="151"/>
      <c r="O109" s="152">
        <f>-O106</f>
        <v>10750</v>
      </c>
      <c r="P109" s="153">
        <f>SUM(M109:O109)</f>
        <v>10750</v>
      </c>
      <c r="Q109" s="36" t="s">
        <v>98</v>
      </c>
    </row>
    <row r="110" spans="6:37" s="139" customFormat="1" ht="12.75">
      <c r="F110" s="155"/>
      <c r="I110" s="16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15" ht="12.75">
      <c r="A111" s="111">
        <v>36738</v>
      </c>
      <c r="E111" s="110"/>
      <c r="I111" s="160"/>
      <c r="K111" s="133">
        <v>36738</v>
      </c>
      <c r="O111" s="132"/>
    </row>
    <row r="112" spans="1:15" ht="12.75">
      <c r="A112" t="s">
        <v>86</v>
      </c>
      <c r="D112" s="114"/>
      <c r="E112" s="115">
        <v>7.3</v>
      </c>
      <c r="I112" s="160"/>
      <c r="K112" s="36" t="s">
        <v>86</v>
      </c>
      <c r="N112" s="136"/>
      <c r="O112" s="137">
        <v>7.3</v>
      </c>
    </row>
    <row r="113" spans="1:15" ht="12.75">
      <c r="A113" t="s">
        <v>87</v>
      </c>
      <c r="D113" s="114"/>
      <c r="E113" s="114">
        <v>7.27</v>
      </c>
      <c r="I113" s="160"/>
      <c r="K113" s="36" t="s">
        <v>87</v>
      </c>
      <c r="N113" s="136"/>
      <c r="O113" s="136">
        <v>7.27</v>
      </c>
    </row>
    <row r="114" spans="1:16" ht="12.75">
      <c r="A114" s="46" t="s">
        <v>88</v>
      </c>
      <c r="D114" s="90"/>
      <c r="E114" s="90">
        <f>$A111-$A$7</f>
        <v>227</v>
      </c>
      <c r="F114" s="154" t="s">
        <v>5</v>
      </c>
      <c r="I114" s="160"/>
      <c r="K114" s="129" t="s">
        <v>88</v>
      </c>
      <c r="N114" s="145"/>
      <c r="O114" s="145">
        <f>$A111-$A$7</f>
        <v>227</v>
      </c>
      <c r="P114" s="36" t="s">
        <v>5</v>
      </c>
    </row>
    <row r="115" spans="1:15" ht="12.75">
      <c r="A115" s="46" t="s">
        <v>89</v>
      </c>
      <c r="C115" s="117"/>
      <c r="D115" s="117"/>
      <c r="E115" s="117">
        <f>ROUND(-(((E$8-E112)*$B$6)/((1+$C$1)^(E$10-E114))),0)</f>
        <v>27284</v>
      </c>
      <c r="I115" s="160"/>
      <c r="K115" s="129" t="s">
        <v>89</v>
      </c>
      <c r="M115" s="146"/>
      <c r="N115" s="146"/>
      <c r="O115" s="146">
        <f>ROUND(-(((O$8-O112)*$B$6)/((1+$M$1)^(O$10-O114))),0)</f>
        <v>27500</v>
      </c>
    </row>
    <row r="116" spans="1:16" ht="12.75">
      <c r="A116" s="46" t="s">
        <v>90</v>
      </c>
      <c r="C116" s="117"/>
      <c r="D116" s="117"/>
      <c r="E116" s="117">
        <f>ROUND(-(((E$9-E113)*$B$6)/((1+$C$1)^(E$10-E114))),0)</f>
        <v>37701</v>
      </c>
      <c r="F116" s="141" t="s">
        <v>91</v>
      </c>
      <c r="I116" s="160" t="str">
        <f>P116</f>
        <v>Dr/(Cr)</v>
      </c>
      <c r="K116" s="129" t="s">
        <v>90</v>
      </c>
      <c r="M116" s="146"/>
      <c r="N116" s="146"/>
      <c r="O116" s="146">
        <f>ROUND(-(((O$9-O113)*$B$6)/((1+$M$1)^(O$10-O114))),0)</f>
        <v>38000</v>
      </c>
      <c r="P116" s="147" t="s">
        <v>91</v>
      </c>
    </row>
    <row r="117" spans="1:15" ht="12.75">
      <c r="A117" s="46" t="s">
        <v>92</v>
      </c>
      <c r="C117" s="117"/>
      <c r="D117" s="117"/>
      <c r="E117" s="118">
        <f>E115-E116</f>
        <v>-10417</v>
      </c>
      <c r="I117" s="160">
        <f>P117</f>
        <v>0</v>
      </c>
      <c r="K117" s="129" t="s">
        <v>92</v>
      </c>
      <c r="M117" s="146"/>
      <c r="N117" s="146"/>
      <c r="O117" s="150">
        <f>O115-O116</f>
        <v>-10500</v>
      </c>
    </row>
    <row r="118" spans="1:17" ht="12.75">
      <c r="A118" s="46" t="s">
        <v>93</v>
      </c>
      <c r="C118" s="117"/>
      <c r="D118" s="117"/>
      <c r="E118" s="118">
        <f>E115</f>
        <v>27284</v>
      </c>
      <c r="F118" s="156">
        <f>SUM(C118:E118)</f>
        <v>27284</v>
      </c>
      <c r="G118" s="148" t="s">
        <v>94</v>
      </c>
      <c r="H118" s="148"/>
      <c r="I118" s="160">
        <f>P118</f>
        <v>27500</v>
      </c>
      <c r="K118" s="129" t="s">
        <v>93</v>
      </c>
      <c r="M118" s="146"/>
      <c r="N118" s="146"/>
      <c r="O118" s="150">
        <f>O115</f>
        <v>27500</v>
      </c>
      <c r="P118" s="149">
        <f>SUM(M118:O118)</f>
        <v>27500</v>
      </c>
      <c r="Q118" s="129" t="s">
        <v>94</v>
      </c>
    </row>
    <row r="119" spans="1:17" ht="12.75">
      <c r="A119" s="46" t="s">
        <v>95</v>
      </c>
      <c r="C119" s="119"/>
      <c r="D119" s="119"/>
      <c r="E119" s="120">
        <f>-E116</f>
        <v>-37701</v>
      </c>
      <c r="F119" s="157">
        <f>SUM(C119:E119)</f>
        <v>-37701</v>
      </c>
      <c r="G119" s="148" t="s">
        <v>96</v>
      </c>
      <c r="H119" s="148"/>
      <c r="I119" s="160">
        <f>P119</f>
        <v>-38000</v>
      </c>
      <c r="K119" s="129" t="s">
        <v>95</v>
      </c>
      <c r="M119" s="151"/>
      <c r="N119" s="151"/>
      <c r="O119" s="152">
        <f>-O116</f>
        <v>-38000</v>
      </c>
      <c r="P119" s="153">
        <f>SUM(M119:O119)</f>
        <v>-38000</v>
      </c>
      <c r="Q119" s="129" t="s">
        <v>96</v>
      </c>
    </row>
    <row r="120" spans="1:17" ht="12.75">
      <c r="A120" s="46" t="s">
        <v>97</v>
      </c>
      <c r="C120" s="119"/>
      <c r="D120" s="119"/>
      <c r="E120" s="120">
        <f>-E117</f>
        <v>10417</v>
      </c>
      <c r="F120" s="157">
        <f>SUM(C120:E120)</f>
        <v>10417</v>
      </c>
      <c r="G120" s="128" t="s">
        <v>98</v>
      </c>
      <c r="I120" s="160">
        <f>P120</f>
        <v>10500</v>
      </c>
      <c r="K120" s="129" t="s">
        <v>97</v>
      </c>
      <c r="M120" s="151"/>
      <c r="N120" s="151"/>
      <c r="O120" s="152">
        <f>-O117</f>
        <v>10500</v>
      </c>
      <c r="P120" s="153">
        <f>SUM(M120:O120)</f>
        <v>10500</v>
      </c>
      <c r="Q120" s="36" t="s">
        <v>98</v>
      </c>
    </row>
    <row r="121" spans="6:37" s="139" customFormat="1" ht="12.75">
      <c r="F121" s="155"/>
      <c r="I121" s="16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15" ht="12.75">
      <c r="A122" s="111">
        <v>36769</v>
      </c>
      <c r="E122" s="110"/>
      <c r="I122" s="160"/>
      <c r="K122" s="133">
        <v>36769</v>
      </c>
      <c r="O122" s="132"/>
    </row>
    <row r="123" spans="1:15" ht="12.75">
      <c r="A123" t="s">
        <v>86</v>
      </c>
      <c r="D123" s="114"/>
      <c r="E123" s="115">
        <v>7.33</v>
      </c>
      <c r="I123" s="160"/>
      <c r="K123" s="36" t="s">
        <v>86</v>
      </c>
      <c r="N123" s="136"/>
      <c r="O123" s="137">
        <v>7.33</v>
      </c>
    </row>
    <row r="124" spans="1:15" ht="12.75">
      <c r="A124" t="s">
        <v>87</v>
      </c>
      <c r="D124" s="114"/>
      <c r="E124" s="114">
        <v>7.31</v>
      </c>
      <c r="I124" s="160"/>
      <c r="K124" s="36" t="s">
        <v>87</v>
      </c>
      <c r="N124" s="136"/>
      <c r="O124" s="136">
        <v>7.31</v>
      </c>
    </row>
    <row r="125" spans="1:16" ht="12.75">
      <c r="A125" s="46" t="s">
        <v>88</v>
      </c>
      <c r="D125" s="90"/>
      <c r="E125" s="90">
        <f>$A122-$A$7</f>
        <v>258</v>
      </c>
      <c r="F125" s="154" t="s">
        <v>5</v>
      </c>
      <c r="I125" s="160"/>
      <c r="K125" s="129" t="s">
        <v>88</v>
      </c>
      <c r="N125" s="145"/>
      <c r="O125" s="145">
        <f>$A122-$A$7</f>
        <v>258</v>
      </c>
      <c r="P125" s="36" t="s">
        <v>5</v>
      </c>
    </row>
    <row r="126" spans="1:15" ht="12.75">
      <c r="A126" s="46" t="s">
        <v>89</v>
      </c>
      <c r="C126" s="117"/>
      <c r="D126" s="117"/>
      <c r="E126" s="117">
        <f>ROUND(-(((E$8-E123)*$B$6)/((1+$C$1)^(E$10-E125))),0)</f>
        <v>28171</v>
      </c>
      <c r="I126" s="160"/>
      <c r="K126" s="129" t="s">
        <v>89</v>
      </c>
      <c r="M126" s="146"/>
      <c r="N126" s="146"/>
      <c r="O126" s="146">
        <f>ROUND(-(((O$8-O123)*$B$6)/((1+$M$1)^(O$10-O125))),0)</f>
        <v>28250</v>
      </c>
    </row>
    <row r="127" spans="1:16" ht="12.75">
      <c r="A127" s="46" t="s">
        <v>90</v>
      </c>
      <c r="C127" s="117"/>
      <c r="D127" s="117"/>
      <c r="E127" s="117">
        <f>ROUND(-(((E$9-E124)*$B$6)/((1+$C$1)^(E$10-E125))),0)</f>
        <v>38891</v>
      </c>
      <c r="F127" s="141" t="s">
        <v>91</v>
      </c>
      <c r="I127" s="160" t="str">
        <f>P127</f>
        <v>Dr/(Cr)</v>
      </c>
      <c r="K127" s="129" t="s">
        <v>90</v>
      </c>
      <c r="M127" s="146"/>
      <c r="N127" s="146"/>
      <c r="O127" s="146">
        <f>ROUND(-(((O$9-O124)*$B$6)/((1+$M$1)^(O$10-O125))),0)</f>
        <v>39000</v>
      </c>
      <c r="P127" s="147" t="s">
        <v>91</v>
      </c>
    </row>
    <row r="128" spans="1:15" ht="12.75">
      <c r="A128" s="46" t="s">
        <v>92</v>
      </c>
      <c r="C128" s="117"/>
      <c r="D128" s="117"/>
      <c r="E128" s="118">
        <f>E126-E127</f>
        <v>-10720</v>
      </c>
      <c r="I128" s="160">
        <f>P128</f>
        <v>0</v>
      </c>
      <c r="K128" s="129" t="s">
        <v>92</v>
      </c>
      <c r="M128" s="146"/>
      <c r="N128" s="146"/>
      <c r="O128" s="150">
        <f>O126-O127</f>
        <v>-10750</v>
      </c>
    </row>
    <row r="129" spans="1:17" ht="12.75">
      <c r="A129" s="46" t="s">
        <v>93</v>
      </c>
      <c r="C129" s="117"/>
      <c r="D129" s="117"/>
      <c r="E129" s="118">
        <f>E126</f>
        <v>28171</v>
      </c>
      <c r="F129" s="156">
        <f>SUM(C129:E129)</f>
        <v>28171</v>
      </c>
      <c r="G129" s="148" t="s">
        <v>94</v>
      </c>
      <c r="H129" s="148"/>
      <c r="I129" s="160">
        <f>P129</f>
        <v>28250</v>
      </c>
      <c r="K129" s="129" t="s">
        <v>93</v>
      </c>
      <c r="M129" s="146"/>
      <c r="N129" s="146"/>
      <c r="O129" s="150">
        <f>O126</f>
        <v>28250</v>
      </c>
      <c r="P129" s="149">
        <f>SUM(M129:O129)</f>
        <v>28250</v>
      </c>
      <c r="Q129" s="129" t="s">
        <v>94</v>
      </c>
    </row>
    <row r="130" spans="1:17" ht="12.75">
      <c r="A130" s="46" t="s">
        <v>95</v>
      </c>
      <c r="C130" s="119"/>
      <c r="D130" s="119"/>
      <c r="E130" s="120">
        <f>-E127</f>
        <v>-38891</v>
      </c>
      <c r="F130" s="157">
        <f>SUM(C130:E130)</f>
        <v>-38891</v>
      </c>
      <c r="G130" s="148" t="s">
        <v>96</v>
      </c>
      <c r="H130" s="148"/>
      <c r="I130" s="160">
        <f>P130</f>
        <v>-39000</v>
      </c>
      <c r="K130" s="129" t="s">
        <v>95</v>
      </c>
      <c r="M130" s="151"/>
      <c r="N130" s="151"/>
      <c r="O130" s="152">
        <f>-O127</f>
        <v>-39000</v>
      </c>
      <c r="P130" s="153">
        <f>SUM(M130:O130)</f>
        <v>-39000</v>
      </c>
      <c r="Q130" s="129" t="s">
        <v>96</v>
      </c>
    </row>
    <row r="131" spans="1:17" ht="12.75">
      <c r="A131" s="46" t="s">
        <v>97</v>
      </c>
      <c r="C131" s="119"/>
      <c r="D131" s="119"/>
      <c r="E131" s="120">
        <f>-E128</f>
        <v>10720</v>
      </c>
      <c r="F131" s="157">
        <f>SUM(C131:E131)</f>
        <v>10720</v>
      </c>
      <c r="G131" s="128" t="s">
        <v>98</v>
      </c>
      <c r="I131" s="160">
        <f>P131</f>
        <v>10750</v>
      </c>
      <c r="K131" s="129" t="s">
        <v>97</v>
      </c>
      <c r="M131" s="151"/>
      <c r="N131" s="151"/>
      <c r="O131" s="152">
        <f>-O128</f>
        <v>10750</v>
      </c>
      <c r="P131" s="153">
        <f>SUM(M131:O131)</f>
        <v>10750</v>
      </c>
      <c r="Q131" s="36" t="s">
        <v>98</v>
      </c>
    </row>
    <row r="132" spans="6:37" s="139" customFormat="1" ht="12.75">
      <c r="F132" s="155"/>
      <c r="I132" s="161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15" ht="12.75">
      <c r="A133" s="111">
        <v>36786</v>
      </c>
      <c r="E133" s="110"/>
      <c r="I133" s="160"/>
      <c r="K133" s="133">
        <v>36786</v>
      </c>
      <c r="O133" s="132"/>
    </row>
    <row r="134" spans="1:15" ht="12.75">
      <c r="A134" t="s">
        <v>86</v>
      </c>
      <c r="D134" s="114"/>
      <c r="E134" s="115"/>
      <c r="I134" s="160"/>
      <c r="K134" s="36" t="s">
        <v>86</v>
      </c>
      <c r="N134" s="136"/>
      <c r="O134" s="137"/>
    </row>
    <row r="135" spans="1:15" ht="12.75">
      <c r="A135" t="s">
        <v>87</v>
      </c>
      <c r="D135" s="114"/>
      <c r="E135" s="114"/>
      <c r="I135" s="160"/>
      <c r="K135" s="36" t="s">
        <v>87</v>
      </c>
      <c r="N135" s="136"/>
      <c r="O135" s="136"/>
    </row>
    <row r="136" spans="1:16" ht="12.75">
      <c r="A136" s="46" t="s">
        <v>88</v>
      </c>
      <c r="D136" s="90"/>
      <c r="E136" s="90"/>
      <c r="F136" s="154" t="s">
        <v>5</v>
      </c>
      <c r="I136" s="160"/>
      <c r="K136" s="129" t="s">
        <v>88</v>
      </c>
      <c r="N136" s="145"/>
      <c r="O136" s="145"/>
      <c r="P136" s="36" t="s">
        <v>5</v>
      </c>
    </row>
    <row r="137" spans="1:15" ht="12.75">
      <c r="A137" s="46" t="s">
        <v>89</v>
      </c>
      <c r="C137" s="117"/>
      <c r="D137" s="117"/>
      <c r="E137" s="118"/>
      <c r="I137" s="160"/>
      <c r="K137" s="129" t="s">
        <v>89</v>
      </c>
      <c r="M137" s="146"/>
      <c r="N137" s="146"/>
      <c r="O137" s="150"/>
    </row>
    <row r="138" spans="1:16" ht="12.75">
      <c r="A138" s="46" t="s">
        <v>90</v>
      </c>
      <c r="C138" s="117"/>
      <c r="D138" s="117"/>
      <c r="E138" s="118"/>
      <c r="F138" s="141" t="s">
        <v>91</v>
      </c>
      <c r="I138" s="160" t="str">
        <f>P138</f>
        <v>Dr/(Cr)</v>
      </c>
      <c r="K138" s="129" t="s">
        <v>90</v>
      </c>
      <c r="M138" s="146"/>
      <c r="N138" s="146"/>
      <c r="O138" s="150"/>
      <c r="P138" s="147" t="s">
        <v>91</v>
      </c>
    </row>
    <row r="139" spans="1:15" ht="12.75">
      <c r="A139" s="46" t="s">
        <v>92</v>
      </c>
      <c r="C139" s="117"/>
      <c r="D139" s="117"/>
      <c r="E139" s="118"/>
      <c r="I139" s="160">
        <f>P139</f>
        <v>0</v>
      </c>
      <c r="K139" s="129" t="s">
        <v>92</v>
      </c>
      <c r="M139" s="146"/>
      <c r="N139" s="146"/>
      <c r="O139" s="150"/>
    </row>
    <row r="140" spans="1:17" ht="12.75">
      <c r="A140" s="46" t="s">
        <v>93</v>
      </c>
      <c r="C140" s="117"/>
      <c r="D140" s="117"/>
      <c r="E140" s="118"/>
      <c r="F140" s="156">
        <f>SUM(C140:E140)</f>
        <v>0</v>
      </c>
      <c r="G140" s="148" t="s">
        <v>94</v>
      </c>
      <c r="H140" s="148"/>
      <c r="I140" s="160">
        <f>P140</f>
        <v>0</v>
      </c>
      <c r="K140" s="129" t="s">
        <v>93</v>
      </c>
      <c r="M140" s="146"/>
      <c r="N140" s="146"/>
      <c r="O140" s="150"/>
      <c r="P140" s="149">
        <f>SUM(M140:O140)</f>
        <v>0</v>
      </c>
      <c r="Q140" s="129" t="s">
        <v>94</v>
      </c>
    </row>
    <row r="141" spans="1:17" ht="12.75">
      <c r="A141" s="46" t="s">
        <v>95</v>
      </c>
      <c r="C141" s="119"/>
      <c r="D141" s="119"/>
      <c r="E141" s="120"/>
      <c r="F141" s="157">
        <f>SUM(C141:E141)</f>
        <v>0</v>
      </c>
      <c r="G141" s="148" t="s">
        <v>96</v>
      </c>
      <c r="H141" s="148"/>
      <c r="I141" s="160">
        <f>P141</f>
        <v>0</v>
      </c>
      <c r="K141" s="129" t="s">
        <v>95</v>
      </c>
      <c r="M141" s="151"/>
      <c r="N141" s="151"/>
      <c r="O141" s="152"/>
      <c r="P141" s="153">
        <f>SUM(M141:O141)</f>
        <v>0</v>
      </c>
      <c r="Q141" s="129" t="s">
        <v>96</v>
      </c>
    </row>
    <row r="142" spans="1:17" ht="12.75">
      <c r="A142" s="46" t="s">
        <v>97</v>
      </c>
      <c r="C142" s="119"/>
      <c r="D142" s="119"/>
      <c r="E142" s="120"/>
      <c r="F142" s="157">
        <f>SUM(C142:E142)</f>
        <v>0</v>
      </c>
      <c r="G142" s="128" t="s">
        <v>98</v>
      </c>
      <c r="I142" s="160">
        <f>P142</f>
        <v>0</v>
      </c>
      <c r="K142" s="129" t="s">
        <v>97</v>
      </c>
      <c r="M142" s="151"/>
      <c r="N142" s="151"/>
      <c r="O142" s="152"/>
      <c r="P142" s="153">
        <f>SUM(M142:O142)</f>
        <v>0</v>
      </c>
      <c r="Q142" s="36" t="s">
        <v>98</v>
      </c>
    </row>
    <row r="143" spans="6:37" s="139" customFormat="1" ht="12.75">
      <c r="F143" s="155"/>
      <c r="I143" s="16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6:17" ht="12.75">
      <c r="F144" s="158"/>
      <c r="G144"/>
      <c r="H144"/>
      <c r="I144" s="158"/>
      <c r="J144"/>
      <c r="K144"/>
      <c r="L144"/>
      <c r="M144"/>
      <c r="N144"/>
      <c r="O144"/>
      <c r="P144"/>
      <c r="Q144"/>
    </row>
    <row r="145" spans="6:17" ht="12.75">
      <c r="F145" s="158"/>
      <c r="G145"/>
      <c r="H145"/>
      <c r="I145" s="158"/>
      <c r="J145"/>
      <c r="K145"/>
      <c r="L145"/>
      <c r="M145"/>
      <c r="N145"/>
      <c r="O145"/>
      <c r="P145"/>
      <c r="Q145"/>
    </row>
    <row r="146" spans="6:17" ht="12.75">
      <c r="F146" s="158"/>
      <c r="G146"/>
      <c r="H146"/>
      <c r="I146" s="158"/>
      <c r="J146"/>
      <c r="K146"/>
      <c r="L146"/>
      <c r="M146"/>
      <c r="N146"/>
      <c r="O146"/>
      <c r="P146"/>
      <c r="Q146"/>
    </row>
    <row r="147" spans="6:17" ht="12.75">
      <c r="F147" s="158"/>
      <c r="G147"/>
      <c r="H147"/>
      <c r="I147" s="158"/>
      <c r="J147"/>
      <c r="K147"/>
      <c r="L147"/>
      <c r="M147"/>
      <c r="N147"/>
      <c r="O147"/>
      <c r="P147"/>
      <c r="Q147"/>
    </row>
    <row r="148" spans="6:17" ht="12.75">
      <c r="F148" s="158"/>
      <c r="G148"/>
      <c r="H148"/>
      <c r="I148" s="158"/>
      <c r="J148"/>
      <c r="K148"/>
      <c r="L148"/>
      <c r="M148"/>
      <c r="N148"/>
      <c r="O148"/>
      <c r="P148"/>
      <c r="Q148"/>
    </row>
    <row r="149" spans="6:17" ht="12.75">
      <c r="F149" s="158"/>
      <c r="G149"/>
      <c r="H149"/>
      <c r="I149" s="158"/>
      <c r="J149"/>
      <c r="K149"/>
      <c r="L149"/>
      <c r="M149"/>
      <c r="N149"/>
      <c r="O149"/>
      <c r="P149"/>
      <c r="Q149"/>
    </row>
    <row r="150" spans="6:17" ht="12.75">
      <c r="F150" s="158"/>
      <c r="G150"/>
      <c r="H150"/>
      <c r="I150" s="158"/>
      <c r="J150"/>
      <c r="K150"/>
      <c r="L150"/>
      <c r="M150"/>
      <c r="N150"/>
      <c r="O150"/>
      <c r="P150"/>
      <c r="Q150"/>
    </row>
    <row r="151" spans="6:17" ht="12.75">
      <c r="F151" s="158"/>
      <c r="G151"/>
      <c r="H151"/>
      <c r="I151" s="158"/>
      <c r="J151"/>
      <c r="K151"/>
      <c r="L151"/>
      <c r="M151"/>
      <c r="N151"/>
      <c r="O151"/>
      <c r="P151"/>
      <c r="Q151"/>
    </row>
    <row r="152" spans="6:17" ht="12.75">
      <c r="F152" s="158"/>
      <c r="G152"/>
      <c r="H152"/>
      <c r="I152" s="158"/>
      <c r="J152"/>
      <c r="K152"/>
      <c r="L152"/>
      <c r="M152"/>
      <c r="N152"/>
      <c r="O152"/>
      <c r="P152"/>
      <c r="Q152"/>
    </row>
    <row r="153" spans="6:17" ht="12.75">
      <c r="F153" s="158"/>
      <c r="G153"/>
      <c r="H153"/>
      <c r="I153" s="158"/>
      <c r="J153"/>
      <c r="K153"/>
      <c r="L153"/>
      <c r="M153"/>
      <c r="N153"/>
      <c r="O153"/>
      <c r="P153"/>
      <c r="Q153"/>
    </row>
    <row r="154" spans="6:17" ht="12.75">
      <c r="F154" s="158"/>
      <c r="G154"/>
      <c r="H154"/>
      <c r="I154" s="158"/>
      <c r="J154"/>
      <c r="K154"/>
      <c r="L154"/>
      <c r="M154"/>
      <c r="N154"/>
      <c r="O154"/>
      <c r="P154"/>
      <c r="Q154"/>
    </row>
    <row r="155" spans="6:17" ht="12.75">
      <c r="F155" s="158"/>
      <c r="G155"/>
      <c r="H155"/>
      <c r="I155" s="158"/>
      <c r="J155"/>
      <c r="K155"/>
      <c r="L155"/>
      <c r="M155"/>
      <c r="N155"/>
      <c r="O155"/>
      <c r="P155"/>
      <c r="Q155"/>
    </row>
    <row r="156" spans="6:17" ht="12.75">
      <c r="F156" s="158"/>
      <c r="G156"/>
      <c r="H156"/>
      <c r="I156" s="158"/>
      <c r="J156"/>
      <c r="K156"/>
      <c r="L156"/>
      <c r="M156"/>
      <c r="N156"/>
      <c r="O156"/>
      <c r="P156"/>
      <c r="Q156"/>
    </row>
    <row r="157" spans="6:17" ht="12.75">
      <c r="F157" s="158"/>
      <c r="G157"/>
      <c r="H157"/>
      <c r="I157" s="158"/>
      <c r="J157"/>
      <c r="K157"/>
      <c r="L157"/>
      <c r="M157"/>
      <c r="N157"/>
      <c r="O157"/>
      <c r="P157"/>
      <c r="Q157"/>
    </row>
    <row r="158" spans="6:17" ht="12.75">
      <c r="F158" s="158"/>
      <c r="G158"/>
      <c r="H158"/>
      <c r="I158" s="158"/>
      <c r="J158"/>
      <c r="K158"/>
      <c r="L158"/>
      <c r="M158"/>
      <c r="N158"/>
      <c r="O158"/>
      <c r="P158"/>
      <c r="Q158"/>
    </row>
    <row r="159" spans="6:17" ht="12.75">
      <c r="F159" s="158"/>
      <c r="G159"/>
      <c r="H159"/>
      <c r="I159" s="158"/>
      <c r="J159"/>
      <c r="K159"/>
      <c r="L159"/>
      <c r="M159"/>
      <c r="N159"/>
      <c r="O159"/>
      <c r="P159"/>
      <c r="Q159"/>
    </row>
    <row r="160" spans="6:17" ht="12.75">
      <c r="F160" s="158"/>
      <c r="G160"/>
      <c r="H160"/>
      <c r="I160" s="158"/>
      <c r="J160"/>
      <c r="K160"/>
      <c r="L160"/>
      <c r="M160"/>
      <c r="N160"/>
      <c r="O160"/>
      <c r="P160"/>
      <c r="Q160"/>
    </row>
    <row r="161" spans="6:17" ht="12.75" hidden="1">
      <c r="F161" s="158"/>
      <c r="G161"/>
      <c r="H161"/>
      <c r="I161" s="158"/>
      <c r="J161"/>
      <c r="K161"/>
      <c r="L161"/>
      <c r="M161"/>
      <c r="N161"/>
      <c r="O161"/>
      <c r="P161"/>
      <c r="Q161"/>
    </row>
    <row r="162" spans="6:17" ht="12.75">
      <c r="F162" s="158"/>
      <c r="G162"/>
      <c r="H162"/>
      <c r="I162" s="158"/>
      <c r="J162"/>
      <c r="K162"/>
      <c r="L162"/>
      <c r="M162"/>
      <c r="N162"/>
      <c r="O162"/>
      <c r="P162"/>
      <c r="Q162"/>
    </row>
    <row r="163" spans="6:17" ht="12.75">
      <c r="F163" s="158"/>
      <c r="G163"/>
      <c r="H163"/>
      <c r="I163" s="158"/>
      <c r="J163"/>
      <c r="K163"/>
      <c r="L163"/>
      <c r="M163"/>
      <c r="N163"/>
      <c r="O163"/>
      <c r="P163"/>
      <c r="Q163"/>
    </row>
    <row r="164" spans="6:17" ht="12.75" hidden="1">
      <c r="F164" s="158"/>
      <c r="G164"/>
      <c r="H164"/>
      <c r="I164" s="158"/>
      <c r="J164"/>
      <c r="K164"/>
      <c r="L164"/>
      <c r="M164"/>
      <c r="N164"/>
      <c r="O164"/>
      <c r="P164"/>
      <c r="Q164"/>
    </row>
    <row r="165" spans="6:17" ht="12.75">
      <c r="F165" s="158"/>
      <c r="G165"/>
      <c r="H165"/>
      <c r="I165" s="158"/>
      <c r="J165"/>
      <c r="K165"/>
      <c r="L165"/>
      <c r="M165"/>
      <c r="N165"/>
      <c r="O165"/>
      <c r="P165"/>
      <c r="Q165"/>
    </row>
    <row r="166" spans="6:17" ht="12.75" hidden="1">
      <c r="F166" s="158"/>
      <c r="G166"/>
      <c r="H166"/>
      <c r="I166" s="158"/>
      <c r="J166"/>
      <c r="K166"/>
      <c r="L166"/>
      <c r="M166"/>
      <c r="N166"/>
      <c r="O166"/>
      <c r="P166"/>
      <c r="Q166"/>
    </row>
    <row r="167" spans="6:17" ht="12.75" hidden="1">
      <c r="F167" s="158"/>
      <c r="G167"/>
      <c r="H167"/>
      <c r="I167" s="158"/>
      <c r="J167"/>
      <c r="K167"/>
      <c r="L167"/>
      <c r="M167"/>
      <c r="N167"/>
      <c r="O167"/>
      <c r="P167"/>
      <c r="Q167"/>
    </row>
    <row r="168" spans="6:17" ht="12.75">
      <c r="F168" s="158"/>
      <c r="G168"/>
      <c r="H168"/>
      <c r="I168" s="158"/>
      <c r="J168"/>
      <c r="K168"/>
      <c r="L168"/>
      <c r="M168"/>
      <c r="N168"/>
      <c r="O168"/>
      <c r="P168"/>
      <c r="Q168"/>
    </row>
    <row r="169" spans="6:17" ht="12.75" hidden="1">
      <c r="F169" s="158"/>
      <c r="G169"/>
      <c r="H169"/>
      <c r="I169" s="158"/>
      <c r="J169"/>
      <c r="K169"/>
      <c r="L169"/>
      <c r="M169"/>
      <c r="N169"/>
      <c r="O169"/>
      <c r="P169"/>
      <c r="Q169"/>
    </row>
    <row r="170" spans="6:17" ht="12.75">
      <c r="F170" s="158"/>
      <c r="G170"/>
      <c r="H170"/>
      <c r="I170" s="158"/>
      <c r="J170"/>
      <c r="K170"/>
      <c r="L170"/>
      <c r="M170"/>
      <c r="N170"/>
      <c r="O170"/>
      <c r="P170"/>
      <c r="Q170"/>
    </row>
    <row r="171" spans="6:17" ht="12.75">
      <c r="F171" s="158"/>
      <c r="G171"/>
      <c r="H171"/>
      <c r="I171" s="158"/>
      <c r="J171"/>
      <c r="K171"/>
      <c r="L171"/>
      <c r="M171"/>
      <c r="N171"/>
      <c r="O171"/>
      <c r="P171"/>
      <c r="Q171"/>
    </row>
    <row r="172" spans="6:17" ht="12.75" hidden="1">
      <c r="F172" s="158"/>
      <c r="G172"/>
      <c r="H172"/>
      <c r="I172" s="158"/>
      <c r="J172"/>
      <c r="K172"/>
      <c r="L172"/>
      <c r="M172"/>
      <c r="N172"/>
      <c r="O172"/>
      <c r="P172"/>
      <c r="Q172"/>
    </row>
    <row r="173" spans="6:17" ht="12.75">
      <c r="F173" s="158"/>
      <c r="G173"/>
      <c r="H173"/>
      <c r="I173" s="158"/>
      <c r="J173"/>
      <c r="K173"/>
      <c r="L173"/>
      <c r="M173"/>
      <c r="N173"/>
      <c r="O173"/>
      <c r="P173"/>
      <c r="Q173"/>
    </row>
    <row r="174" spans="6:17" ht="12.75">
      <c r="F174" s="158"/>
      <c r="G174"/>
      <c r="H174"/>
      <c r="I174" s="158"/>
      <c r="J174"/>
      <c r="K174"/>
      <c r="L174"/>
      <c r="M174"/>
      <c r="N174"/>
      <c r="O174"/>
      <c r="P174"/>
      <c r="Q174"/>
    </row>
    <row r="175" spans="6:17" ht="12.75" hidden="1">
      <c r="F175" s="158"/>
      <c r="G175"/>
      <c r="H175"/>
      <c r="I175" s="158"/>
      <c r="J175"/>
      <c r="K175"/>
      <c r="L175"/>
      <c r="M175"/>
      <c r="N175"/>
      <c r="O175"/>
      <c r="P175"/>
      <c r="Q175"/>
    </row>
    <row r="176" spans="6:17" ht="12.75">
      <c r="F176" s="158"/>
      <c r="G176"/>
      <c r="H176"/>
      <c r="I176" s="158"/>
      <c r="J176"/>
      <c r="K176"/>
      <c r="L176"/>
      <c r="M176"/>
      <c r="N176"/>
      <c r="O176"/>
      <c r="P176"/>
      <c r="Q176"/>
    </row>
    <row r="177" spans="6:17" ht="12.75" hidden="1">
      <c r="F177" s="158"/>
      <c r="G177"/>
      <c r="H177"/>
      <c r="I177" s="158"/>
      <c r="J177"/>
      <c r="K177"/>
      <c r="L177"/>
      <c r="M177"/>
      <c r="N177"/>
      <c r="O177"/>
      <c r="P177"/>
      <c r="Q177"/>
    </row>
    <row r="178" spans="6:17" ht="12.75" hidden="1">
      <c r="F178" s="158"/>
      <c r="G178"/>
      <c r="H178"/>
      <c r="I178" s="158"/>
      <c r="J178"/>
      <c r="K178"/>
      <c r="L178"/>
      <c r="M178"/>
      <c r="N178"/>
      <c r="O178"/>
      <c r="P178"/>
      <c r="Q178"/>
    </row>
    <row r="179" spans="6:17" ht="12.75">
      <c r="F179" s="158"/>
      <c r="G179"/>
      <c r="H179"/>
      <c r="I179" s="158"/>
      <c r="J179"/>
      <c r="K179"/>
      <c r="L179"/>
      <c r="M179"/>
      <c r="N179"/>
      <c r="O179"/>
      <c r="P179"/>
      <c r="Q179"/>
    </row>
    <row r="180" spans="6:17" ht="12.75" hidden="1">
      <c r="F180" s="158"/>
      <c r="G180"/>
      <c r="H180"/>
      <c r="I180" s="158"/>
      <c r="J180"/>
      <c r="K180"/>
      <c r="L180"/>
      <c r="M180"/>
      <c r="N180"/>
      <c r="O180"/>
      <c r="P180"/>
      <c r="Q180"/>
    </row>
    <row r="181" spans="6:17" ht="12.75">
      <c r="F181" s="158"/>
      <c r="G181"/>
      <c r="H181"/>
      <c r="I181" s="158"/>
      <c r="J181"/>
      <c r="K181"/>
      <c r="L181"/>
      <c r="M181"/>
      <c r="N181"/>
      <c r="O181"/>
      <c r="P181"/>
      <c r="Q181"/>
    </row>
    <row r="182" spans="6:17" ht="12.75">
      <c r="F182" s="158"/>
      <c r="G182"/>
      <c r="H182"/>
      <c r="I182" s="158"/>
      <c r="J182"/>
      <c r="K182"/>
      <c r="L182"/>
      <c r="M182"/>
      <c r="N182"/>
      <c r="O182"/>
      <c r="P182"/>
      <c r="Q182"/>
    </row>
    <row r="183" spans="6:17" ht="12.75" hidden="1">
      <c r="F183" s="158"/>
      <c r="G183"/>
      <c r="H183"/>
      <c r="I183" s="158"/>
      <c r="J183"/>
      <c r="K183"/>
      <c r="L183"/>
      <c r="M183"/>
      <c r="N183"/>
      <c r="O183"/>
      <c r="P183"/>
      <c r="Q183"/>
    </row>
    <row r="184" spans="6:17" ht="12.75">
      <c r="F184" s="158"/>
      <c r="G184"/>
      <c r="H184"/>
      <c r="I184" s="158"/>
      <c r="J184"/>
      <c r="K184"/>
      <c r="L184"/>
      <c r="M184"/>
      <c r="N184"/>
      <c r="O184"/>
      <c r="P184"/>
      <c r="Q184"/>
    </row>
    <row r="185" spans="6:17" ht="12.75">
      <c r="F185" s="158"/>
      <c r="G185"/>
      <c r="H185"/>
      <c r="I185" s="158"/>
      <c r="J185"/>
      <c r="K185"/>
      <c r="L185"/>
      <c r="M185"/>
      <c r="N185"/>
      <c r="O185"/>
      <c r="P185"/>
      <c r="Q185"/>
    </row>
    <row r="186" spans="6:17" ht="12.75" hidden="1">
      <c r="F186" s="158"/>
      <c r="G186"/>
      <c r="H186"/>
      <c r="I186" s="158"/>
      <c r="J186"/>
      <c r="K186"/>
      <c r="L186"/>
      <c r="M186"/>
      <c r="N186"/>
      <c r="O186"/>
      <c r="P186"/>
      <c r="Q186"/>
    </row>
    <row r="187" spans="6:17" ht="12.75">
      <c r="F187" s="158"/>
      <c r="G187"/>
      <c r="H187"/>
      <c r="I187" s="158"/>
      <c r="J187"/>
      <c r="K187"/>
      <c r="L187"/>
      <c r="M187"/>
      <c r="N187"/>
      <c r="O187"/>
      <c r="P187"/>
      <c r="Q187"/>
    </row>
    <row r="188" spans="6:17" ht="12.75" hidden="1">
      <c r="F188" s="158"/>
      <c r="G188"/>
      <c r="H188"/>
      <c r="I188" s="158"/>
      <c r="J188"/>
      <c r="K188"/>
      <c r="L188"/>
      <c r="M188"/>
      <c r="N188"/>
      <c r="O188"/>
      <c r="P188"/>
      <c r="Q188"/>
    </row>
    <row r="189" spans="6:17" ht="12.75" hidden="1">
      <c r="F189" s="158"/>
      <c r="G189"/>
      <c r="H189"/>
      <c r="I189" s="158"/>
      <c r="J189"/>
      <c r="K189"/>
      <c r="L189"/>
      <c r="M189"/>
      <c r="N189"/>
      <c r="O189"/>
      <c r="P189"/>
      <c r="Q189"/>
    </row>
    <row r="190" spans="6:17" ht="12.75">
      <c r="F190" s="158"/>
      <c r="G190"/>
      <c r="H190"/>
      <c r="I190" s="158"/>
      <c r="J190"/>
      <c r="K190"/>
      <c r="L190"/>
      <c r="M190"/>
      <c r="N190"/>
      <c r="O190"/>
      <c r="P190"/>
      <c r="Q190"/>
    </row>
    <row r="191" spans="6:17" ht="12.75">
      <c r="F191" s="158"/>
      <c r="G191"/>
      <c r="H191"/>
      <c r="I191" s="158"/>
      <c r="J191"/>
      <c r="K191"/>
      <c r="L191"/>
      <c r="M191"/>
      <c r="N191"/>
      <c r="O191"/>
      <c r="P191"/>
      <c r="Q191"/>
    </row>
    <row r="192" spans="6:17" ht="12.75">
      <c r="F192" s="158"/>
      <c r="G192"/>
      <c r="H192"/>
      <c r="I192" s="158"/>
      <c r="J192"/>
      <c r="K192"/>
      <c r="L192"/>
      <c r="M192"/>
      <c r="N192"/>
      <c r="O192"/>
      <c r="P192"/>
      <c r="Q192"/>
    </row>
    <row r="193" spans="6:17" ht="12.75">
      <c r="F193" s="158"/>
      <c r="G193"/>
      <c r="H193"/>
      <c r="I193" s="158"/>
      <c r="J193"/>
      <c r="K193"/>
      <c r="L193"/>
      <c r="M193"/>
      <c r="N193"/>
      <c r="O193"/>
      <c r="P193"/>
      <c r="Q193"/>
    </row>
    <row r="194" spans="6:17" ht="12.75">
      <c r="F194" s="158"/>
      <c r="G194"/>
      <c r="H194"/>
      <c r="I194" s="158"/>
      <c r="J194"/>
      <c r="K194"/>
      <c r="L194"/>
      <c r="M194"/>
      <c r="N194"/>
      <c r="O194"/>
      <c r="P194"/>
      <c r="Q194"/>
    </row>
    <row r="195" spans="6:17" ht="12.75">
      <c r="F195" s="158"/>
      <c r="G195"/>
      <c r="H195"/>
      <c r="I195" s="158"/>
      <c r="J195"/>
      <c r="K195"/>
      <c r="L195"/>
      <c r="M195"/>
      <c r="N195"/>
      <c r="O195"/>
      <c r="P195"/>
      <c r="Q195"/>
    </row>
    <row r="196" spans="6:17" ht="12.75">
      <c r="F196" s="158"/>
      <c r="G196"/>
      <c r="H196"/>
      <c r="I196" s="158"/>
      <c r="J196"/>
      <c r="K196"/>
      <c r="L196"/>
      <c r="M196"/>
      <c r="N196"/>
      <c r="O196"/>
      <c r="P196"/>
      <c r="Q196"/>
    </row>
    <row r="197" spans="6:17" ht="12.75">
      <c r="F197" s="158"/>
      <c r="G197"/>
      <c r="H197"/>
      <c r="I197" s="158"/>
      <c r="J197"/>
      <c r="K197"/>
      <c r="L197"/>
      <c r="M197"/>
      <c r="N197"/>
      <c r="O197"/>
      <c r="P197"/>
      <c r="Q197"/>
    </row>
    <row r="198" spans="6:17" ht="12.75">
      <c r="F198" s="158"/>
      <c r="G198"/>
      <c r="H198"/>
      <c r="I198" s="158"/>
      <c r="J198"/>
      <c r="K198"/>
      <c r="L198"/>
      <c r="M198"/>
      <c r="N198"/>
      <c r="O198"/>
      <c r="P198"/>
      <c r="Q198"/>
    </row>
    <row r="199" spans="6:17" ht="12.75">
      <c r="F199" s="158"/>
      <c r="G199"/>
      <c r="H199"/>
      <c r="I199" s="158"/>
      <c r="J199"/>
      <c r="K199"/>
      <c r="L199"/>
      <c r="M199"/>
      <c r="N199"/>
      <c r="O199"/>
      <c r="P199"/>
      <c r="Q199"/>
    </row>
    <row r="200" spans="6:17" ht="12.75">
      <c r="F200" s="158"/>
      <c r="G200"/>
      <c r="H200"/>
      <c r="I200" s="158"/>
      <c r="J200"/>
      <c r="K200"/>
      <c r="L200"/>
      <c r="M200"/>
      <c r="N200"/>
      <c r="O200"/>
      <c r="P200"/>
      <c r="Q200"/>
    </row>
    <row r="201" spans="6:17" ht="12.75">
      <c r="F201" s="158"/>
      <c r="G201"/>
      <c r="H201"/>
      <c r="I201" s="158"/>
      <c r="J201"/>
      <c r="K201"/>
      <c r="L201"/>
      <c r="M201"/>
      <c r="N201"/>
      <c r="O201"/>
      <c r="P201"/>
      <c r="Q201"/>
    </row>
    <row r="202" spans="6:17" ht="12.75" hidden="1">
      <c r="F202" s="158"/>
      <c r="G202"/>
      <c r="H202"/>
      <c r="I202" s="158"/>
      <c r="J202"/>
      <c r="K202"/>
      <c r="L202"/>
      <c r="M202"/>
      <c r="N202"/>
      <c r="O202"/>
      <c r="P202"/>
      <c r="Q202"/>
    </row>
    <row r="203" spans="6:17" ht="12.75">
      <c r="F203" s="158"/>
      <c r="G203"/>
      <c r="H203"/>
      <c r="I203" s="158"/>
      <c r="J203"/>
      <c r="K203"/>
      <c r="L203"/>
      <c r="M203"/>
      <c r="N203"/>
      <c r="O203"/>
      <c r="P203"/>
      <c r="Q203"/>
    </row>
    <row r="204" spans="6:17" ht="12.75">
      <c r="F204" s="158"/>
      <c r="G204"/>
      <c r="H204"/>
      <c r="I204" s="158"/>
      <c r="J204"/>
      <c r="K204"/>
      <c r="L204"/>
      <c r="M204"/>
      <c r="N204"/>
      <c r="O204"/>
      <c r="P204"/>
      <c r="Q204"/>
    </row>
    <row r="205" spans="6:17" ht="12.75" hidden="1">
      <c r="F205" s="158"/>
      <c r="G205"/>
      <c r="H205"/>
      <c r="I205" s="158"/>
      <c r="J205"/>
      <c r="K205"/>
      <c r="L205"/>
      <c r="M205"/>
      <c r="N205"/>
      <c r="O205"/>
      <c r="P205"/>
      <c r="Q205"/>
    </row>
    <row r="206" spans="6:17" ht="12.75">
      <c r="F206" s="158"/>
      <c r="G206"/>
      <c r="H206"/>
      <c r="I206" s="158"/>
      <c r="J206"/>
      <c r="K206"/>
      <c r="L206"/>
      <c r="M206"/>
      <c r="N206"/>
      <c r="O206"/>
      <c r="P206"/>
      <c r="Q206"/>
    </row>
    <row r="207" spans="6:17" ht="12.75" hidden="1">
      <c r="F207" s="158"/>
      <c r="G207"/>
      <c r="H207"/>
      <c r="I207" s="158"/>
      <c r="J207"/>
      <c r="K207"/>
      <c r="L207"/>
      <c r="M207"/>
      <c r="N207"/>
      <c r="O207"/>
      <c r="P207"/>
      <c r="Q207"/>
    </row>
    <row r="208" spans="6:17" ht="12.75" hidden="1">
      <c r="F208" s="158"/>
      <c r="G208"/>
      <c r="H208"/>
      <c r="I208" s="158"/>
      <c r="J208"/>
      <c r="K208"/>
      <c r="L208"/>
      <c r="M208"/>
      <c r="N208"/>
      <c r="O208"/>
      <c r="P208"/>
      <c r="Q208"/>
    </row>
    <row r="209" spans="6:17" ht="12.75">
      <c r="F209" s="158"/>
      <c r="G209"/>
      <c r="H209"/>
      <c r="I209" s="158"/>
      <c r="J209"/>
      <c r="K209"/>
      <c r="L209"/>
      <c r="M209"/>
      <c r="N209"/>
      <c r="O209"/>
      <c r="P209"/>
      <c r="Q209"/>
    </row>
    <row r="210" spans="6:17" ht="12.75" hidden="1">
      <c r="F210" s="158"/>
      <c r="G210"/>
      <c r="H210"/>
      <c r="I210" s="158"/>
      <c r="J210"/>
      <c r="K210"/>
      <c r="L210"/>
      <c r="M210"/>
      <c r="N210"/>
      <c r="O210"/>
      <c r="P210"/>
      <c r="Q210"/>
    </row>
    <row r="211" spans="6:17" ht="12.75">
      <c r="F211" s="158"/>
      <c r="G211"/>
      <c r="H211"/>
      <c r="I211" s="158"/>
      <c r="J211"/>
      <c r="K211"/>
      <c r="L211"/>
      <c r="M211"/>
      <c r="N211"/>
      <c r="O211"/>
      <c r="P211"/>
      <c r="Q211"/>
    </row>
    <row r="212" spans="6:17" ht="12.75">
      <c r="F212" s="158"/>
      <c r="G212"/>
      <c r="H212"/>
      <c r="I212" s="158"/>
      <c r="J212"/>
      <c r="K212"/>
      <c r="L212"/>
      <c r="M212"/>
      <c r="N212"/>
      <c r="O212"/>
      <c r="P212"/>
      <c r="Q212"/>
    </row>
    <row r="213" spans="6:17" ht="12.75" hidden="1">
      <c r="F213" s="158"/>
      <c r="G213"/>
      <c r="H213"/>
      <c r="I213" s="158"/>
      <c r="J213"/>
      <c r="K213"/>
      <c r="L213"/>
      <c r="M213"/>
      <c r="N213"/>
      <c r="O213"/>
      <c r="P213"/>
      <c r="Q213"/>
    </row>
    <row r="214" spans="6:17" ht="12.75">
      <c r="F214" s="158"/>
      <c r="G214"/>
      <c r="H214"/>
      <c r="I214" s="158"/>
      <c r="J214"/>
      <c r="K214"/>
      <c r="L214"/>
      <c r="M214"/>
      <c r="N214"/>
      <c r="O214"/>
      <c r="P214"/>
      <c r="Q214"/>
    </row>
    <row r="215" spans="6:17" ht="12.75">
      <c r="F215" s="158"/>
      <c r="G215"/>
      <c r="H215"/>
      <c r="I215" s="158"/>
      <c r="J215"/>
      <c r="K215"/>
      <c r="L215"/>
      <c r="M215"/>
      <c r="N215"/>
      <c r="O215"/>
      <c r="P215"/>
      <c r="Q215"/>
    </row>
    <row r="216" spans="6:17" ht="12.75" hidden="1">
      <c r="F216" s="158"/>
      <c r="G216"/>
      <c r="H216"/>
      <c r="I216" s="158"/>
      <c r="J216"/>
      <c r="K216"/>
      <c r="L216"/>
      <c r="M216"/>
      <c r="N216"/>
      <c r="O216"/>
      <c r="P216"/>
      <c r="Q216"/>
    </row>
    <row r="217" spans="6:17" ht="12.75">
      <c r="F217" s="158"/>
      <c r="G217"/>
      <c r="H217"/>
      <c r="I217" s="158"/>
      <c r="J217"/>
      <c r="K217"/>
      <c r="L217"/>
      <c r="M217"/>
      <c r="N217"/>
      <c r="O217"/>
      <c r="P217"/>
      <c r="Q217"/>
    </row>
    <row r="218" spans="6:17" ht="12.75" hidden="1">
      <c r="F218" s="158"/>
      <c r="G218"/>
      <c r="H218"/>
      <c r="I218" s="158"/>
      <c r="J218"/>
      <c r="K218"/>
      <c r="L218"/>
      <c r="M218"/>
      <c r="N218"/>
      <c r="O218"/>
      <c r="P218"/>
      <c r="Q218"/>
    </row>
    <row r="219" spans="6:17" ht="12.75" hidden="1">
      <c r="F219" s="158"/>
      <c r="G219"/>
      <c r="H219"/>
      <c r="I219" s="158"/>
      <c r="J219"/>
      <c r="K219"/>
      <c r="L219"/>
      <c r="M219"/>
      <c r="N219"/>
      <c r="O219"/>
      <c r="P219"/>
      <c r="Q219"/>
    </row>
    <row r="220" spans="6:17" ht="12.75">
      <c r="F220" s="158"/>
      <c r="G220"/>
      <c r="H220"/>
      <c r="I220" s="158"/>
      <c r="J220"/>
      <c r="K220"/>
      <c r="L220"/>
      <c r="M220"/>
      <c r="N220"/>
      <c r="O220"/>
      <c r="P220"/>
      <c r="Q220"/>
    </row>
    <row r="221" spans="6:17" ht="12.75" hidden="1">
      <c r="F221" s="158"/>
      <c r="G221"/>
      <c r="H221"/>
      <c r="I221" s="158"/>
      <c r="J221"/>
      <c r="K221"/>
      <c r="L221"/>
      <c r="M221"/>
      <c r="N221"/>
      <c r="O221"/>
      <c r="P221"/>
      <c r="Q221"/>
    </row>
    <row r="222" spans="6:17" ht="12.75">
      <c r="F222" s="158"/>
      <c r="G222"/>
      <c r="H222"/>
      <c r="I222" s="158"/>
      <c r="J222"/>
      <c r="K222"/>
      <c r="L222"/>
      <c r="M222"/>
      <c r="N222"/>
      <c r="O222"/>
      <c r="P222"/>
      <c r="Q222"/>
    </row>
    <row r="223" spans="6:17" ht="12.75">
      <c r="F223" s="158"/>
      <c r="G223"/>
      <c r="H223"/>
      <c r="I223" s="158"/>
      <c r="J223"/>
      <c r="K223"/>
      <c r="L223"/>
      <c r="M223"/>
      <c r="N223"/>
      <c r="O223"/>
      <c r="P223"/>
      <c r="Q223"/>
    </row>
    <row r="224" spans="6:17" ht="12.75" hidden="1">
      <c r="F224" s="158"/>
      <c r="G224"/>
      <c r="H224"/>
      <c r="I224" s="158"/>
      <c r="J224"/>
      <c r="K224"/>
      <c r="L224"/>
      <c r="M224"/>
      <c r="N224"/>
      <c r="O224"/>
      <c r="P224"/>
      <c r="Q224"/>
    </row>
    <row r="225" spans="6:17" ht="12.75">
      <c r="F225" s="158"/>
      <c r="G225"/>
      <c r="H225"/>
      <c r="I225" s="158"/>
      <c r="J225"/>
      <c r="K225"/>
      <c r="L225"/>
      <c r="M225"/>
      <c r="N225"/>
      <c r="O225"/>
      <c r="P225"/>
      <c r="Q225"/>
    </row>
    <row r="226" spans="6:17" ht="12.75">
      <c r="F226" s="158"/>
      <c r="G226"/>
      <c r="H226"/>
      <c r="I226" s="158"/>
      <c r="J226"/>
      <c r="K226"/>
      <c r="L226"/>
      <c r="M226"/>
      <c r="N226"/>
      <c r="O226"/>
      <c r="P226"/>
      <c r="Q226"/>
    </row>
    <row r="227" spans="6:17" ht="12.75" hidden="1">
      <c r="F227" s="158"/>
      <c r="G227"/>
      <c r="H227"/>
      <c r="I227" s="158"/>
      <c r="J227"/>
      <c r="K227"/>
      <c r="L227"/>
      <c r="M227"/>
      <c r="N227"/>
      <c r="O227"/>
      <c r="P227"/>
      <c r="Q227"/>
    </row>
    <row r="228" spans="6:17" ht="12.75">
      <c r="F228" s="158"/>
      <c r="G228"/>
      <c r="H228"/>
      <c r="I228" s="158"/>
      <c r="J228"/>
      <c r="K228"/>
      <c r="L228"/>
      <c r="M228"/>
      <c r="N228"/>
      <c r="O228"/>
      <c r="P228"/>
      <c r="Q228"/>
    </row>
    <row r="229" spans="6:17" ht="12.75" hidden="1">
      <c r="F229" s="158"/>
      <c r="G229"/>
      <c r="H229"/>
      <c r="I229" s="158"/>
      <c r="J229"/>
      <c r="K229"/>
      <c r="L229"/>
      <c r="M229"/>
      <c r="N229"/>
      <c r="O229"/>
      <c r="P229"/>
      <c r="Q229"/>
    </row>
    <row r="230" spans="6:17" ht="12.75" hidden="1">
      <c r="F230" s="158"/>
      <c r="G230"/>
      <c r="H230"/>
      <c r="I230" s="158"/>
      <c r="J230"/>
      <c r="K230"/>
      <c r="L230"/>
      <c r="M230"/>
      <c r="N230"/>
      <c r="O230"/>
      <c r="P230"/>
      <c r="Q230"/>
    </row>
    <row r="231" spans="6:17" ht="12.75">
      <c r="F231" s="158"/>
      <c r="G231"/>
      <c r="H231"/>
      <c r="I231" s="158"/>
      <c r="J231"/>
      <c r="K231"/>
      <c r="L231"/>
      <c r="M231"/>
      <c r="N231"/>
      <c r="O231"/>
      <c r="P231"/>
      <c r="Q231"/>
    </row>
    <row r="232" spans="6:17" ht="12.75" hidden="1">
      <c r="F232" s="158"/>
      <c r="G232"/>
      <c r="H232"/>
      <c r="I232" s="158"/>
      <c r="J232"/>
      <c r="K232"/>
      <c r="L232"/>
      <c r="M232"/>
      <c r="N232"/>
      <c r="O232"/>
      <c r="P232"/>
      <c r="Q232"/>
    </row>
    <row r="233" spans="6:17" ht="12.75">
      <c r="F233" s="158"/>
      <c r="G233"/>
      <c r="H233"/>
      <c r="I233" s="158"/>
      <c r="J233"/>
      <c r="K233"/>
      <c r="L233"/>
      <c r="M233"/>
      <c r="N233"/>
      <c r="O233"/>
      <c r="P233"/>
      <c r="Q233"/>
    </row>
    <row r="234" spans="6:17" ht="12.75">
      <c r="F234" s="158"/>
      <c r="G234"/>
      <c r="H234"/>
      <c r="I234" s="158"/>
      <c r="J234"/>
      <c r="K234"/>
      <c r="L234"/>
      <c r="M234"/>
      <c r="N234"/>
      <c r="O234"/>
      <c r="P234"/>
      <c r="Q234"/>
    </row>
    <row r="235" spans="6:17" ht="12.75" hidden="1">
      <c r="F235" s="158"/>
      <c r="G235"/>
      <c r="H235"/>
      <c r="I235" s="158"/>
      <c r="J235"/>
      <c r="K235"/>
      <c r="L235"/>
      <c r="M235"/>
      <c r="N235"/>
      <c r="O235"/>
      <c r="P235"/>
      <c r="Q235"/>
    </row>
    <row r="236" spans="6:17" ht="12.75">
      <c r="F236" s="158"/>
      <c r="G236"/>
      <c r="H236"/>
      <c r="I236" s="158"/>
      <c r="J236"/>
      <c r="K236"/>
      <c r="L236"/>
      <c r="M236"/>
      <c r="N236"/>
      <c r="O236"/>
      <c r="P236"/>
      <c r="Q236"/>
    </row>
    <row r="237" spans="6:17" ht="12.75">
      <c r="F237" s="158"/>
      <c r="G237"/>
      <c r="H237"/>
      <c r="I237" s="158"/>
      <c r="J237"/>
      <c r="K237"/>
      <c r="L237"/>
      <c r="M237"/>
      <c r="N237"/>
      <c r="O237"/>
      <c r="P237"/>
      <c r="Q237"/>
    </row>
    <row r="238" spans="6:17" ht="12.75" hidden="1">
      <c r="F238" s="158"/>
      <c r="G238"/>
      <c r="H238"/>
      <c r="I238" s="158"/>
      <c r="J238"/>
      <c r="K238"/>
      <c r="L238"/>
      <c r="M238"/>
      <c r="N238"/>
      <c r="O238"/>
      <c r="P238"/>
      <c r="Q238"/>
    </row>
    <row r="239" spans="6:17" ht="12.75">
      <c r="F239" s="158"/>
      <c r="G239"/>
      <c r="H239"/>
      <c r="I239" s="158"/>
      <c r="J239"/>
      <c r="K239"/>
      <c r="L239"/>
      <c r="M239"/>
      <c r="N239"/>
      <c r="O239"/>
      <c r="P239"/>
      <c r="Q239"/>
    </row>
    <row r="240" spans="6:17" ht="12.75" hidden="1">
      <c r="F240" s="158"/>
      <c r="G240"/>
      <c r="H240"/>
      <c r="I240" s="158"/>
      <c r="J240"/>
      <c r="K240"/>
      <c r="L240"/>
      <c r="M240"/>
      <c r="N240"/>
      <c r="O240"/>
      <c r="P240"/>
      <c r="Q240"/>
    </row>
    <row r="241" spans="6:17" ht="12.75" hidden="1">
      <c r="F241" s="158"/>
      <c r="G241"/>
      <c r="H241"/>
      <c r="I241" s="158"/>
      <c r="J241"/>
      <c r="K241"/>
      <c r="L241"/>
      <c r="M241"/>
      <c r="N241"/>
      <c r="O241"/>
      <c r="P241"/>
      <c r="Q241"/>
    </row>
    <row r="242" spans="6:17" ht="12.75">
      <c r="F242" s="158"/>
      <c r="G242"/>
      <c r="H242"/>
      <c r="I242" s="158"/>
      <c r="J242"/>
      <c r="K242"/>
      <c r="L242"/>
      <c r="M242"/>
      <c r="N242"/>
      <c r="O242"/>
      <c r="P242"/>
      <c r="Q242"/>
    </row>
    <row r="243" spans="6:17" ht="12.75">
      <c r="F243" s="158"/>
      <c r="G243"/>
      <c r="H243"/>
      <c r="I243" s="158"/>
      <c r="J243"/>
      <c r="K243"/>
      <c r="L243"/>
      <c r="M243"/>
      <c r="N243"/>
      <c r="O243"/>
      <c r="P243"/>
      <c r="Q243"/>
    </row>
    <row r="244" spans="6:17" ht="12.75">
      <c r="F244" s="158"/>
      <c r="G244"/>
      <c r="H244"/>
      <c r="I244" s="158"/>
      <c r="J244"/>
      <c r="K244"/>
      <c r="L244"/>
      <c r="M244"/>
      <c r="N244"/>
      <c r="O244"/>
      <c r="P244"/>
      <c r="Q244"/>
    </row>
    <row r="245" spans="6:17" ht="12.75">
      <c r="F245" s="158"/>
      <c r="G245"/>
      <c r="H245"/>
      <c r="I245" s="158"/>
      <c r="J245"/>
      <c r="K245"/>
      <c r="L245"/>
      <c r="M245"/>
      <c r="N245"/>
      <c r="O245"/>
      <c r="P245"/>
      <c r="Q245"/>
    </row>
    <row r="246" spans="6:17" ht="12.75">
      <c r="F246" s="158"/>
      <c r="G246"/>
      <c r="H246"/>
      <c r="I246" s="158"/>
      <c r="J246"/>
      <c r="K246"/>
      <c r="L246"/>
      <c r="M246"/>
      <c r="N246"/>
      <c r="O246"/>
      <c r="P246"/>
      <c r="Q246"/>
    </row>
    <row r="247" spans="6:17" ht="12.75">
      <c r="F247" s="158"/>
      <c r="G247"/>
      <c r="H247"/>
      <c r="I247" s="158"/>
      <c r="J247"/>
      <c r="K247"/>
      <c r="L247"/>
      <c r="M247"/>
      <c r="N247"/>
      <c r="O247"/>
      <c r="P247"/>
      <c r="Q247"/>
    </row>
    <row r="248" spans="6:17" ht="12.75">
      <c r="F248" s="158"/>
      <c r="G248"/>
      <c r="H248"/>
      <c r="I248" s="158"/>
      <c r="J248"/>
      <c r="K248"/>
      <c r="L248"/>
      <c r="M248"/>
      <c r="N248"/>
      <c r="O248"/>
      <c r="P248"/>
      <c r="Q248"/>
    </row>
    <row r="249" spans="6:17" ht="12.75">
      <c r="F249" s="158"/>
      <c r="G249"/>
      <c r="H249"/>
      <c r="I249" s="158"/>
      <c r="J249"/>
      <c r="K249"/>
      <c r="L249"/>
      <c r="M249"/>
      <c r="N249"/>
      <c r="O249"/>
      <c r="P249"/>
      <c r="Q249"/>
    </row>
    <row r="250" spans="6:17" ht="12.75">
      <c r="F250" s="158"/>
      <c r="G250"/>
      <c r="H250"/>
      <c r="I250" s="158"/>
      <c r="J250"/>
      <c r="K250"/>
      <c r="L250"/>
      <c r="M250"/>
      <c r="N250"/>
      <c r="O250"/>
      <c r="P250"/>
      <c r="Q250"/>
    </row>
    <row r="251" spans="6:17" ht="12.75">
      <c r="F251" s="158"/>
      <c r="G251"/>
      <c r="H251"/>
      <c r="I251" s="158"/>
      <c r="J251"/>
      <c r="K251"/>
      <c r="L251"/>
      <c r="M251"/>
      <c r="N251"/>
      <c r="O251"/>
      <c r="P251"/>
      <c r="Q251"/>
    </row>
    <row r="252" spans="6:17" ht="12.75">
      <c r="F252" s="158"/>
      <c r="G252"/>
      <c r="H252"/>
      <c r="I252" s="158"/>
      <c r="J252"/>
      <c r="K252"/>
      <c r="L252"/>
      <c r="M252"/>
      <c r="N252"/>
      <c r="O252"/>
      <c r="P252"/>
      <c r="Q252"/>
    </row>
    <row r="253" spans="6:17" ht="12.75">
      <c r="F253" s="158"/>
      <c r="G253"/>
      <c r="H253"/>
      <c r="I253" s="158"/>
      <c r="J253"/>
      <c r="K253"/>
      <c r="L253"/>
      <c r="M253"/>
      <c r="N253"/>
      <c r="O253"/>
      <c r="P253"/>
      <c r="Q253"/>
    </row>
    <row r="254" spans="6:17" ht="12.75" hidden="1">
      <c r="F254" s="158"/>
      <c r="G254"/>
      <c r="H254"/>
      <c r="I254" s="158"/>
      <c r="J254"/>
      <c r="K254"/>
      <c r="L254"/>
      <c r="M254"/>
      <c r="N254"/>
      <c r="O254"/>
      <c r="P254"/>
      <c r="Q254"/>
    </row>
    <row r="255" spans="6:17" ht="12.75">
      <c r="F255" s="158"/>
      <c r="G255"/>
      <c r="H255"/>
      <c r="I255" s="158"/>
      <c r="J255"/>
      <c r="K255"/>
      <c r="L255"/>
      <c r="M255"/>
      <c r="N255"/>
      <c r="O255"/>
      <c r="P255"/>
      <c r="Q255"/>
    </row>
    <row r="256" spans="6:17" ht="12.75">
      <c r="F256" s="158"/>
      <c r="G256"/>
      <c r="H256"/>
      <c r="I256" s="158"/>
      <c r="J256"/>
      <c r="K256"/>
      <c r="L256"/>
      <c r="M256"/>
      <c r="N256"/>
      <c r="O256"/>
      <c r="P256"/>
      <c r="Q256"/>
    </row>
    <row r="257" spans="6:17" ht="12.75" hidden="1">
      <c r="F257" s="158"/>
      <c r="G257"/>
      <c r="H257"/>
      <c r="I257" s="158"/>
      <c r="J257"/>
      <c r="K257"/>
      <c r="L257"/>
      <c r="M257"/>
      <c r="N257"/>
      <c r="O257"/>
      <c r="P257"/>
      <c r="Q257"/>
    </row>
    <row r="258" spans="6:17" ht="12.75">
      <c r="F258" s="158"/>
      <c r="G258"/>
      <c r="H258"/>
      <c r="I258" s="158"/>
      <c r="J258"/>
      <c r="K258"/>
      <c r="L258"/>
      <c r="M258"/>
      <c r="N258"/>
      <c r="O258"/>
      <c r="P258"/>
      <c r="Q258"/>
    </row>
    <row r="259" spans="6:17" ht="12.75" hidden="1">
      <c r="F259" s="158"/>
      <c r="G259"/>
      <c r="H259"/>
      <c r="I259" s="158"/>
      <c r="J259"/>
      <c r="K259"/>
      <c r="L259"/>
      <c r="M259"/>
      <c r="N259"/>
      <c r="O259"/>
      <c r="P259"/>
      <c r="Q259"/>
    </row>
    <row r="260" spans="6:17" ht="12.75" hidden="1">
      <c r="F260" s="158"/>
      <c r="G260"/>
      <c r="H260"/>
      <c r="I260" s="158"/>
      <c r="J260"/>
      <c r="K260"/>
      <c r="L260"/>
      <c r="M260"/>
      <c r="N260"/>
      <c r="O260"/>
      <c r="P260"/>
      <c r="Q260"/>
    </row>
    <row r="261" spans="6:17" ht="12.75">
      <c r="F261" s="158"/>
      <c r="G261"/>
      <c r="H261"/>
      <c r="I261" s="158"/>
      <c r="J261"/>
      <c r="K261"/>
      <c r="L261"/>
      <c r="M261"/>
      <c r="N261"/>
      <c r="O261"/>
      <c r="P261"/>
      <c r="Q261"/>
    </row>
    <row r="262" spans="6:17" ht="12.75" hidden="1">
      <c r="F262" s="158"/>
      <c r="G262"/>
      <c r="H262"/>
      <c r="I262" s="158"/>
      <c r="J262"/>
      <c r="K262"/>
      <c r="L262"/>
      <c r="M262"/>
      <c r="N262"/>
      <c r="O262"/>
      <c r="P262"/>
      <c r="Q262"/>
    </row>
    <row r="263" spans="6:17" ht="12.75">
      <c r="F263" s="158"/>
      <c r="G263"/>
      <c r="H263"/>
      <c r="I263" s="158"/>
      <c r="J263"/>
      <c r="K263"/>
      <c r="L263"/>
      <c r="M263"/>
      <c r="N263"/>
      <c r="O263"/>
      <c r="P263"/>
      <c r="Q263"/>
    </row>
    <row r="264" spans="6:17" ht="12.75">
      <c r="F264" s="158"/>
      <c r="G264"/>
      <c r="H264"/>
      <c r="I264" s="158"/>
      <c r="J264"/>
      <c r="K264"/>
      <c r="L264"/>
      <c r="M264"/>
      <c r="N264"/>
      <c r="O264"/>
      <c r="P264"/>
      <c r="Q264"/>
    </row>
    <row r="265" spans="6:17" ht="12.75" hidden="1">
      <c r="F265" s="158"/>
      <c r="G265"/>
      <c r="H265"/>
      <c r="I265" s="158"/>
      <c r="J265"/>
      <c r="K265"/>
      <c r="L265"/>
      <c r="M265"/>
      <c r="N265"/>
      <c r="O265"/>
      <c r="P265"/>
      <c r="Q265"/>
    </row>
    <row r="266" spans="6:17" ht="12.75">
      <c r="F266" s="158"/>
      <c r="G266"/>
      <c r="H266"/>
      <c r="I266" s="158"/>
      <c r="J266"/>
      <c r="K266"/>
      <c r="L266"/>
      <c r="M266"/>
      <c r="N266"/>
      <c r="O266"/>
      <c r="P266"/>
      <c r="Q266"/>
    </row>
    <row r="267" spans="6:17" ht="12.75">
      <c r="F267" s="158"/>
      <c r="G267"/>
      <c r="H267"/>
      <c r="I267" s="158"/>
      <c r="J267"/>
      <c r="K267"/>
      <c r="L267"/>
      <c r="M267"/>
      <c r="N267"/>
      <c r="O267"/>
      <c r="P267"/>
      <c r="Q267"/>
    </row>
    <row r="268" spans="6:17" ht="12.75" hidden="1">
      <c r="F268" s="158"/>
      <c r="G268"/>
      <c r="H268"/>
      <c r="I268" s="158"/>
      <c r="J268"/>
      <c r="K268"/>
      <c r="L268"/>
      <c r="M268"/>
      <c r="N268"/>
      <c r="O268"/>
      <c r="P268"/>
      <c r="Q268"/>
    </row>
    <row r="269" spans="6:17" ht="12.75">
      <c r="F269" s="158"/>
      <c r="G269"/>
      <c r="H269"/>
      <c r="I269" s="158"/>
      <c r="J269"/>
      <c r="K269"/>
      <c r="L269"/>
      <c r="M269"/>
      <c r="N269"/>
      <c r="O269"/>
      <c r="P269"/>
      <c r="Q269"/>
    </row>
    <row r="270" spans="6:17" ht="12.75" hidden="1">
      <c r="F270" s="158"/>
      <c r="G270"/>
      <c r="H270"/>
      <c r="I270" s="158"/>
      <c r="J270"/>
      <c r="K270"/>
      <c r="L270"/>
      <c r="M270"/>
      <c r="N270"/>
      <c r="O270"/>
      <c r="P270"/>
      <c r="Q270"/>
    </row>
    <row r="271" spans="6:17" ht="12.75" hidden="1">
      <c r="F271" s="158"/>
      <c r="G271"/>
      <c r="H271"/>
      <c r="I271" s="158"/>
      <c r="J271"/>
      <c r="K271"/>
      <c r="L271"/>
      <c r="M271"/>
      <c r="N271"/>
      <c r="O271"/>
      <c r="P271"/>
      <c r="Q271"/>
    </row>
    <row r="272" spans="6:17" ht="12.75">
      <c r="F272" s="158"/>
      <c r="G272"/>
      <c r="H272"/>
      <c r="I272" s="158"/>
      <c r="J272"/>
      <c r="K272"/>
      <c r="L272"/>
      <c r="M272"/>
      <c r="N272"/>
      <c r="O272"/>
      <c r="P272"/>
      <c r="Q272"/>
    </row>
    <row r="273" spans="6:17" ht="12.75" hidden="1">
      <c r="F273" s="158"/>
      <c r="G273"/>
      <c r="H273"/>
      <c r="I273" s="158"/>
      <c r="J273"/>
      <c r="K273"/>
      <c r="L273"/>
      <c r="M273"/>
      <c r="N273"/>
      <c r="O273"/>
      <c r="P273"/>
      <c r="Q273"/>
    </row>
    <row r="274" spans="6:17" ht="12.75">
      <c r="F274" s="158"/>
      <c r="G274"/>
      <c r="H274"/>
      <c r="I274" s="158"/>
      <c r="J274"/>
      <c r="K274"/>
      <c r="L274"/>
      <c r="M274"/>
      <c r="N274"/>
      <c r="O274"/>
      <c r="P274"/>
      <c r="Q274"/>
    </row>
    <row r="275" spans="6:17" ht="12.75">
      <c r="F275" s="158"/>
      <c r="G275"/>
      <c r="H275"/>
      <c r="I275" s="158"/>
      <c r="J275"/>
      <c r="K275"/>
      <c r="L275"/>
      <c r="M275"/>
      <c r="N275"/>
      <c r="O275"/>
      <c r="P275"/>
      <c r="Q275"/>
    </row>
    <row r="276" spans="6:17" ht="12.75" hidden="1">
      <c r="F276" s="158"/>
      <c r="G276"/>
      <c r="H276"/>
      <c r="I276" s="158"/>
      <c r="J276"/>
      <c r="K276"/>
      <c r="L276"/>
      <c r="M276"/>
      <c r="N276"/>
      <c r="O276"/>
      <c r="P276"/>
      <c r="Q276"/>
    </row>
    <row r="277" spans="6:17" ht="12.75">
      <c r="F277" s="158"/>
      <c r="G277"/>
      <c r="H277"/>
      <c r="I277" s="158"/>
      <c r="J277"/>
      <c r="K277"/>
      <c r="L277"/>
      <c r="M277"/>
      <c r="N277"/>
      <c r="O277"/>
      <c r="P277"/>
      <c r="Q277"/>
    </row>
    <row r="278" spans="6:17" ht="12.75">
      <c r="F278" s="158"/>
      <c r="G278"/>
      <c r="H278"/>
      <c r="I278" s="158"/>
      <c r="J278"/>
      <c r="K278"/>
      <c r="L278"/>
      <c r="M278"/>
      <c r="N278"/>
      <c r="O278"/>
      <c r="P278"/>
      <c r="Q278"/>
    </row>
    <row r="279" spans="6:17" ht="12.75" hidden="1">
      <c r="F279" s="158"/>
      <c r="G279"/>
      <c r="H279"/>
      <c r="I279" s="158"/>
      <c r="J279"/>
      <c r="K279"/>
      <c r="L279"/>
      <c r="M279"/>
      <c r="N279"/>
      <c r="O279"/>
      <c r="P279"/>
      <c r="Q279"/>
    </row>
    <row r="280" spans="6:17" ht="12.75">
      <c r="F280" s="158"/>
      <c r="G280"/>
      <c r="H280"/>
      <c r="I280" s="158"/>
      <c r="J280"/>
      <c r="K280"/>
      <c r="L280"/>
      <c r="M280"/>
      <c r="N280"/>
      <c r="O280"/>
      <c r="P280"/>
      <c r="Q280"/>
    </row>
    <row r="281" spans="6:17" ht="12.75" hidden="1">
      <c r="F281" s="158"/>
      <c r="G281"/>
      <c r="H281"/>
      <c r="I281" s="158"/>
      <c r="J281"/>
      <c r="K281"/>
      <c r="L281"/>
      <c r="M281"/>
      <c r="N281"/>
      <c r="O281"/>
      <c r="P281"/>
      <c r="Q281"/>
    </row>
    <row r="282" spans="6:17" ht="12.75" hidden="1">
      <c r="F282" s="158"/>
      <c r="G282"/>
      <c r="H282"/>
      <c r="I282" s="158"/>
      <c r="J282"/>
      <c r="K282"/>
      <c r="L282"/>
      <c r="M282"/>
      <c r="N282"/>
      <c r="O282"/>
      <c r="P282"/>
      <c r="Q282"/>
    </row>
    <row r="283" spans="6:17" ht="12.75">
      <c r="F283" s="158"/>
      <c r="G283"/>
      <c r="H283"/>
      <c r="I283" s="158"/>
      <c r="J283"/>
      <c r="K283"/>
      <c r="L283"/>
      <c r="M283"/>
      <c r="N283"/>
      <c r="O283"/>
      <c r="P283"/>
      <c r="Q283"/>
    </row>
    <row r="284" spans="6:17" ht="12.75" hidden="1">
      <c r="F284" s="158"/>
      <c r="G284"/>
      <c r="H284"/>
      <c r="I284" s="158"/>
      <c r="J284"/>
      <c r="K284"/>
      <c r="L284"/>
      <c r="M284"/>
      <c r="N284"/>
      <c r="O284"/>
      <c r="P284"/>
      <c r="Q284"/>
    </row>
    <row r="285" spans="6:17" ht="12.75">
      <c r="F285" s="158"/>
      <c r="G285"/>
      <c r="H285"/>
      <c r="I285" s="158"/>
      <c r="J285"/>
      <c r="K285"/>
      <c r="L285"/>
      <c r="M285"/>
      <c r="N285"/>
      <c r="O285"/>
      <c r="P285"/>
      <c r="Q285"/>
    </row>
    <row r="286" spans="6:17" ht="12.75">
      <c r="F286" s="158"/>
      <c r="G286"/>
      <c r="H286"/>
      <c r="I286" s="158"/>
      <c r="J286"/>
      <c r="K286"/>
      <c r="L286"/>
      <c r="M286"/>
      <c r="N286"/>
      <c r="O286"/>
      <c r="P286"/>
      <c r="Q286"/>
    </row>
    <row r="287" spans="6:17" ht="12.75" hidden="1">
      <c r="F287" s="158"/>
      <c r="G287"/>
      <c r="H287"/>
      <c r="I287" s="158"/>
      <c r="J287"/>
      <c r="K287"/>
      <c r="L287"/>
      <c r="M287"/>
      <c r="N287"/>
      <c r="O287"/>
      <c r="P287"/>
      <c r="Q287"/>
    </row>
    <row r="288" spans="6:17" ht="12.75">
      <c r="F288" s="158"/>
      <c r="G288"/>
      <c r="H288"/>
      <c r="I288" s="158"/>
      <c r="J288"/>
      <c r="K288"/>
      <c r="L288"/>
      <c r="M288"/>
      <c r="N288"/>
      <c r="O288"/>
      <c r="P288"/>
      <c r="Q288"/>
    </row>
    <row r="289" spans="6:17" ht="12.75">
      <c r="F289" s="158"/>
      <c r="G289"/>
      <c r="H289"/>
      <c r="I289" s="158"/>
      <c r="J289"/>
      <c r="K289"/>
      <c r="L289"/>
      <c r="M289"/>
      <c r="N289"/>
      <c r="O289"/>
      <c r="P289"/>
      <c r="Q289"/>
    </row>
    <row r="290" spans="6:17" ht="12.75" hidden="1">
      <c r="F290" s="158"/>
      <c r="G290"/>
      <c r="H290"/>
      <c r="I290" s="158"/>
      <c r="J290"/>
      <c r="K290"/>
      <c r="L290"/>
      <c r="M290"/>
      <c r="N290"/>
      <c r="O290"/>
      <c r="P290"/>
      <c r="Q290"/>
    </row>
    <row r="291" spans="6:17" ht="12.75">
      <c r="F291" s="158"/>
      <c r="G291"/>
      <c r="H291"/>
      <c r="I291" s="158"/>
      <c r="J291"/>
      <c r="K291"/>
      <c r="L291"/>
      <c r="M291"/>
      <c r="N291"/>
      <c r="O291"/>
      <c r="P291"/>
      <c r="Q291"/>
    </row>
    <row r="292" spans="6:17" ht="12.75" hidden="1">
      <c r="F292" s="158"/>
      <c r="G292"/>
      <c r="H292"/>
      <c r="I292" s="158"/>
      <c r="J292"/>
      <c r="K292"/>
      <c r="L292"/>
      <c r="M292"/>
      <c r="N292"/>
      <c r="O292"/>
      <c r="P292"/>
      <c r="Q292"/>
    </row>
    <row r="293" spans="6:17" ht="12.75" hidden="1">
      <c r="F293" s="158"/>
      <c r="G293"/>
      <c r="H293"/>
      <c r="I293" s="158"/>
      <c r="J293"/>
      <c r="K293"/>
      <c r="L293"/>
      <c r="M293"/>
      <c r="N293"/>
      <c r="O293"/>
      <c r="P293"/>
      <c r="Q293"/>
    </row>
    <row r="294" spans="6:17" ht="12.75">
      <c r="F294" s="158"/>
      <c r="G294"/>
      <c r="H294"/>
      <c r="I294" s="158"/>
      <c r="J294"/>
      <c r="K294"/>
      <c r="L294"/>
      <c r="M294"/>
      <c r="N294"/>
      <c r="O294"/>
      <c r="P294"/>
      <c r="Q294"/>
    </row>
    <row r="295" spans="6:17" ht="12.75">
      <c r="F295" s="158"/>
      <c r="G295"/>
      <c r="H295"/>
      <c r="I295" s="158"/>
      <c r="J295"/>
      <c r="K295"/>
      <c r="L295"/>
      <c r="M295"/>
      <c r="N295"/>
      <c r="O295"/>
      <c r="P295"/>
      <c r="Q295"/>
    </row>
    <row r="296" spans="6:17" ht="12.75">
      <c r="F296" s="158"/>
      <c r="G296"/>
      <c r="H296"/>
      <c r="I296" s="158"/>
      <c r="J296"/>
      <c r="K296"/>
      <c r="L296"/>
      <c r="M296"/>
      <c r="N296"/>
      <c r="O296"/>
      <c r="P296"/>
      <c r="Q296"/>
    </row>
    <row r="297" spans="6:17" ht="12.75">
      <c r="F297" s="158"/>
      <c r="G297"/>
      <c r="H297"/>
      <c r="I297" s="158"/>
      <c r="J297"/>
      <c r="K297"/>
      <c r="L297"/>
      <c r="M297"/>
      <c r="N297"/>
      <c r="O297"/>
      <c r="P297"/>
      <c r="Q297"/>
    </row>
    <row r="298" spans="6:17" ht="12.75">
      <c r="F298" s="158"/>
      <c r="G298"/>
      <c r="H298"/>
      <c r="I298" s="158"/>
      <c r="J298"/>
      <c r="K298"/>
      <c r="L298"/>
      <c r="M298"/>
      <c r="N298"/>
      <c r="O298"/>
      <c r="P298"/>
      <c r="Q298"/>
    </row>
    <row r="299" spans="6:17" ht="12.75">
      <c r="F299" s="158"/>
      <c r="G299"/>
      <c r="H299"/>
      <c r="I299" s="158"/>
      <c r="J299"/>
      <c r="K299"/>
      <c r="L299"/>
      <c r="M299"/>
      <c r="N299"/>
      <c r="O299"/>
      <c r="P299"/>
      <c r="Q299"/>
    </row>
    <row r="300" spans="6:17" ht="12.75">
      <c r="F300" s="158"/>
      <c r="G300"/>
      <c r="H300"/>
      <c r="I300" s="158"/>
      <c r="J300"/>
      <c r="K300"/>
      <c r="L300"/>
      <c r="M300"/>
      <c r="N300"/>
      <c r="O300"/>
      <c r="P300"/>
      <c r="Q300"/>
    </row>
    <row r="301" spans="6:17" ht="12.75">
      <c r="F301" s="158"/>
      <c r="G301"/>
      <c r="H301"/>
      <c r="I301" s="158"/>
      <c r="J301"/>
      <c r="K301"/>
      <c r="L301"/>
      <c r="M301"/>
      <c r="N301"/>
      <c r="O301"/>
      <c r="P301"/>
      <c r="Q301"/>
    </row>
    <row r="302" spans="6:17" ht="12.75">
      <c r="F302" s="158"/>
      <c r="G302"/>
      <c r="H302"/>
      <c r="I302" s="158"/>
      <c r="J302"/>
      <c r="K302"/>
      <c r="L302"/>
      <c r="M302"/>
      <c r="N302"/>
      <c r="O302"/>
      <c r="P302"/>
      <c r="Q302"/>
    </row>
    <row r="303" spans="6:17" ht="12.75">
      <c r="F303" s="158"/>
      <c r="G303"/>
      <c r="H303"/>
      <c r="I303" s="158"/>
      <c r="J303"/>
      <c r="K303"/>
      <c r="L303"/>
      <c r="M303"/>
      <c r="N303"/>
      <c r="O303"/>
      <c r="P303"/>
      <c r="Q303"/>
    </row>
    <row r="304" spans="6:17" ht="12.75">
      <c r="F304" s="158"/>
      <c r="G304"/>
      <c r="H304"/>
      <c r="I304" s="158"/>
      <c r="J304"/>
      <c r="K304"/>
      <c r="L304"/>
      <c r="M304"/>
      <c r="N304"/>
      <c r="O304"/>
      <c r="P304"/>
      <c r="Q304"/>
    </row>
    <row r="305" spans="6:17" ht="12.75">
      <c r="F305" s="158"/>
      <c r="G305"/>
      <c r="H305"/>
      <c r="I305" s="158"/>
      <c r="J305"/>
      <c r="K305"/>
      <c r="L305"/>
      <c r="M305"/>
      <c r="N305"/>
      <c r="O305"/>
      <c r="P305"/>
      <c r="Q305"/>
    </row>
    <row r="306" spans="6:17" ht="12.75">
      <c r="F306" s="158"/>
      <c r="G306"/>
      <c r="H306"/>
      <c r="I306" s="158"/>
      <c r="J306"/>
      <c r="K306"/>
      <c r="L306"/>
      <c r="M306"/>
      <c r="N306"/>
      <c r="O306"/>
      <c r="P306"/>
      <c r="Q306"/>
    </row>
    <row r="307" spans="6:17" ht="12.75">
      <c r="F307" s="158"/>
      <c r="G307"/>
      <c r="H307"/>
      <c r="I307" s="158"/>
      <c r="J307"/>
      <c r="K307"/>
      <c r="L307"/>
      <c r="M307"/>
      <c r="N307"/>
      <c r="O307"/>
      <c r="P307"/>
      <c r="Q307"/>
    </row>
    <row r="308" spans="6:17" ht="12.75">
      <c r="F308" s="158"/>
      <c r="G308"/>
      <c r="H308"/>
      <c r="I308" s="158"/>
      <c r="J308"/>
      <c r="K308"/>
      <c r="L308"/>
      <c r="M308"/>
      <c r="N308"/>
      <c r="O308"/>
      <c r="P308"/>
      <c r="Q308"/>
    </row>
    <row r="309" spans="6:17" ht="12.75">
      <c r="F309" s="158"/>
      <c r="G309"/>
      <c r="H309"/>
      <c r="I309" s="158"/>
      <c r="J309"/>
      <c r="K309"/>
      <c r="L309"/>
      <c r="M309"/>
      <c r="N309"/>
      <c r="O309"/>
      <c r="P309"/>
      <c r="Q309"/>
    </row>
    <row r="310" spans="6:17" ht="9.75" customHeight="1">
      <c r="F310" s="158"/>
      <c r="G310"/>
      <c r="H310"/>
      <c r="I310" s="158"/>
      <c r="J310"/>
      <c r="K310"/>
      <c r="L310"/>
      <c r="M310"/>
      <c r="N310"/>
      <c r="O310"/>
      <c r="P310"/>
      <c r="Q310"/>
    </row>
    <row r="311" spans="6:17" ht="12.75">
      <c r="F311" s="158"/>
      <c r="G311"/>
      <c r="H311"/>
      <c r="I311" s="158"/>
      <c r="J311"/>
      <c r="K311"/>
      <c r="L311"/>
      <c r="M311"/>
      <c r="N311"/>
      <c r="O311"/>
      <c r="P311"/>
      <c r="Q311"/>
    </row>
    <row r="312" spans="6:17" ht="12.75">
      <c r="F312" s="158"/>
      <c r="G312"/>
      <c r="H312"/>
      <c r="I312" s="158"/>
      <c r="J312"/>
      <c r="K312"/>
      <c r="L312"/>
      <c r="M312"/>
      <c r="N312"/>
      <c r="O312"/>
      <c r="P312"/>
      <c r="Q312"/>
    </row>
    <row r="313" spans="6:17" ht="12.75">
      <c r="F313" s="158"/>
      <c r="G313"/>
      <c r="H313"/>
      <c r="I313" s="158"/>
      <c r="J313"/>
      <c r="K313"/>
      <c r="L313"/>
      <c r="M313"/>
      <c r="N313"/>
      <c r="O313"/>
      <c r="P313"/>
      <c r="Q313"/>
    </row>
    <row r="314" spans="6:17" ht="9.75" customHeight="1">
      <c r="F314" s="158"/>
      <c r="G314"/>
      <c r="H314"/>
      <c r="I314" s="158"/>
      <c r="J314"/>
      <c r="K314"/>
      <c r="L314"/>
      <c r="M314"/>
      <c r="N314"/>
      <c r="O314"/>
      <c r="P314"/>
      <c r="Q314"/>
    </row>
    <row r="315" spans="6:17" ht="12.75">
      <c r="F315" s="158"/>
      <c r="G315"/>
      <c r="H315"/>
      <c r="I315" s="158"/>
      <c r="J315"/>
      <c r="K315"/>
      <c r="L315"/>
      <c r="M315"/>
      <c r="N315"/>
      <c r="O315"/>
      <c r="P315"/>
      <c r="Q315"/>
    </row>
    <row r="316" spans="6:17" ht="12.75">
      <c r="F316" s="158"/>
      <c r="G316"/>
      <c r="H316"/>
      <c r="I316" s="158"/>
      <c r="J316"/>
      <c r="K316"/>
      <c r="L316"/>
      <c r="M316"/>
      <c r="N316"/>
      <c r="O316"/>
      <c r="P316"/>
      <c r="Q316"/>
    </row>
    <row r="317" spans="6:17" ht="12.75">
      <c r="F317" s="158"/>
      <c r="G317"/>
      <c r="H317"/>
      <c r="I317" s="158"/>
      <c r="J317"/>
      <c r="K317"/>
      <c r="L317"/>
      <c r="M317"/>
      <c r="N317"/>
      <c r="O317"/>
      <c r="P317"/>
      <c r="Q317"/>
    </row>
    <row r="318" spans="6:17" ht="12.75">
      <c r="F318" s="158"/>
      <c r="G318"/>
      <c r="H318"/>
      <c r="I318" s="158"/>
      <c r="J318"/>
      <c r="K318"/>
      <c r="L318"/>
      <c r="M318"/>
      <c r="N318"/>
      <c r="O318"/>
      <c r="P318"/>
      <c r="Q318"/>
    </row>
    <row r="319" spans="6:17" ht="9.75" customHeight="1">
      <c r="F319" s="158"/>
      <c r="G319"/>
      <c r="H319"/>
      <c r="I319" s="158"/>
      <c r="J319"/>
      <c r="K319"/>
      <c r="L319"/>
      <c r="M319"/>
      <c r="N319"/>
      <c r="O319"/>
      <c r="P319"/>
      <c r="Q319"/>
    </row>
    <row r="320" spans="6:17" ht="12.75">
      <c r="F320" s="158"/>
      <c r="G320"/>
      <c r="H320"/>
      <c r="I320" s="158"/>
      <c r="J320"/>
      <c r="K320"/>
      <c r="L320"/>
      <c r="M320"/>
      <c r="N320"/>
      <c r="O320"/>
      <c r="P320"/>
      <c r="Q320"/>
    </row>
    <row r="321" spans="6:17" ht="12.75">
      <c r="F321" s="158"/>
      <c r="G321"/>
      <c r="H321"/>
      <c r="I321" s="158"/>
      <c r="J321"/>
      <c r="K321"/>
      <c r="L321"/>
      <c r="M321"/>
      <c r="N321"/>
      <c r="O321"/>
      <c r="P321"/>
      <c r="Q321"/>
    </row>
    <row r="322" spans="6:17" ht="12.75">
      <c r="F322" s="158"/>
      <c r="G322"/>
      <c r="H322"/>
      <c r="I322" s="158"/>
      <c r="J322"/>
      <c r="K322"/>
      <c r="L322"/>
      <c r="M322"/>
      <c r="N322"/>
      <c r="O322"/>
      <c r="P322"/>
      <c r="Q322"/>
    </row>
    <row r="323" spans="6:17" ht="9.75" customHeight="1">
      <c r="F323" s="158"/>
      <c r="G323"/>
      <c r="H323"/>
      <c r="I323" s="158"/>
      <c r="J323"/>
      <c r="K323"/>
      <c r="L323"/>
      <c r="M323"/>
      <c r="N323"/>
      <c r="O323"/>
      <c r="P323"/>
      <c r="Q323"/>
    </row>
    <row r="324" spans="6:17" ht="12.75">
      <c r="F324" s="158"/>
      <c r="G324"/>
      <c r="H324"/>
      <c r="I324" s="158"/>
      <c r="J324"/>
      <c r="K324"/>
      <c r="L324"/>
      <c r="M324"/>
      <c r="N324"/>
      <c r="O324"/>
      <c r="P324"/>
      <c r="Q324"/>
    </row>
    <row r="325" spans="6:17" ht="12.75">
      <c r="F325" s="158"/>
      <c r="G325"/>
      <c r="H325"/>
      <c r="I325" s="158"/>
      <c r="J325"/>
      <c r="K325"/>
      <c r="L325"/>
      <c r="M325"/>
      <c r="N325"/>
      <c r="O325"/>
      <c r="P325"/>
      <c r="Q325"/>
    </row>
    <row r="326" spans="6:17" ht="12.75">
      <c r="F326" s="158"/>
      <c r="G326"/>
      <c r="H326"/>
      <c r="I326" s="158"/>
      <c r="J326"/>
      <c r="K326"/>
      <c r="L326"/>
      <c r="M326"/>
      <c r="N326"/>
      <c r="O326"/>
      <c r="P326"/>
      <c r="Q326"/>
    </row>
    <row r="327" spans="6:17" ht="12.75">
      <c r="F327" s="158"/>
      <c r="G327"/>
      <c r="H327"/>
      <c r="I327" s="158"/>
      <c r="J327"/>
      <c r="K327"/>
      <c r="L327"/>
      <c r="M327"/>
      <c r="N327"/>
      <c r="O327"/>
      <c r="P327"/>
      <c r="Q327"/>
    </row>
    <row r="328" spans="6:17" ht="9.75" customHeight="1">
      <c r="F328" s="158"/>
      <c r="G328"/>
      <c r="H328"/>
      <c r="I328" s="158"/>
      <c r="J328"/>
      <c r="K328"/>
      <c r="L328"/>
      <c r="M328"/>
      <c r="N328"/>
      <c r="O328"/>
      <c r="P328"/>
      <c r="Q328"/>
    </row>
    <row r="329" spans="6:17" ht="12.75">
      <c r="F329" s="158"/>
      <c r="G329"/>
      <c r="H329"/>
      <c r="I329" s="158"/>
      <c r="J329"/>
      <c r="K329"/>
      <c r="L329"/>
      <c r="M329"/>
      <c r="N329"/>
      <c r="O329"/>
      <c r="P329"/>
      <c r="Q329"/>
    </row>
    <row r="330" spans="6:17" ht="12.75">
      <c r="F330" s="158"/>
      <c r="G330"/>
      <c r="H330"/>
      <c r="I330" s="158"/>
      <c r="J330"/>
      <c r="K330"/>
      <c r="L330"/>
      <c r="M330"/>
      <c r="N330"/>
      <c r="O330"/>
      <c r="P330"/>
      <c r="Q330"/>
    </row>
    <row r="331" spans="6:17" ht="12.75">
      <c r="F331" s="158"/>
      <c r="G331"/>
      <c r="H331"/>
      <c r="I331" s="158"/>
      <c r="J331"/>
      <c r="K331"/>
      <c r="L331"/>
      <c r="M331"/>
      <c r="N331"/>
      <c r="O331"/>
      <c r="P331"/>
      <c r="Q331"/>
    </row>
    <row r="332" spans="6:17" ht="12.75">
      <c r="F332" s="158"/>
      <c r="G332"/>
      <c r="H332"/>
      <c r="I332" s="158"/>
      <c r="J332"/>
      <c r="K332"/>
      <c r="L332"/>
      <c r="M332"/>
      <c r="N332"/>
      <c r="O332"/>
      <c r="P332"/>
      <c r="Q332"/>
    </row>
    <row r="333" spans="6:17" ht="12.75">
      <c r="F333" s="158"/>
      <c r="G333"/>
      <c r="H333"/>
      <c r="I333" s="158"/>
      <c r="J333"/>
      <c r="K333"/>
      <c r="L333"/>
      <c r="M333"/>
      <c r="N333"/>
      <c r="O333"/>
      <c r="P333"/>
      <c r="Q333"/>
    </row>
    <row r="334" spans="6:17" ht="9.75" customHeight="1">
      <c r="F334" s="158"/>
      <c r="G334"/>
      <c r="H334"/>
      <c r="I334" s="158"/>
      <c r="J334"/>
      <c r="K334"/>
      <c r="L334"/>
      <c r="M334"/>
      <c r="N334"/>
      <c r="O334"/>
      <c r="P334"/>
      <c r="Q334"/>
    </row>
    <row r="335" spans="6:17" ht="12.75">
      <c r="F335" s="158"/>
      <c r="G335"/>
      <c r="H335"/>
      <c r="I335" s="158"/>
      <c r="J335"/>
      <c r="K335"/>
      <c r="L335"/>
      <c r="M335"/>
      <c r="N335"/>
      <c r="O335"/>
      <c r="P335"/>
      <c r="Q335"/>
    </row>
    <row r="336" spans="6:17" ht="12.75">
      <c r="F336" s="158"/>
      <c r="G336"/>
      <c r="H336"/>
      <c r="I336" s="158"/>
      <c r="J336"/>
      <c r="K336"/>
      <c r="L336"/>
      <c r="M336"/>
      <c r="N336"/>
      <c r="O336"/>
      <c r="P336"/>
      <c r="Q336"/>
    </row>
    <row r="337" spans="6:17" ht="12.75">
      <c r="F337" s="158"/>
      <c r="G337"/>
      <c r="H337"/>
      <c r="I337" s="158"/>
      <c r="J337"/>
      <c r="K337"/>
      <c r="L337"/>
      <c r="M337"/>
      <c r="N337"/>
      <c r="O337"/>
      <c r="P337"/>
      <c r="Q337"/>
    </row>
    <row r="338" spans="6:17" ht="9.75" customHeight="1">
      <c r="F338" s="158"/>
      <c r="G338"/>
      <c r="H338"/>
      <c r="I338" s="158"/>
      <c r="J338"/>
      <c r="K338"/>
      <c r="L338"/>
      <c r="M338"/>
      <c r="N338"/>
      <c r="O338"/>
      <c r="P338"/>
      <c r="Q338"/>
    </row>
    <row r="339" spans="6:17" ht="12.75">
      <c r="F339" s="158"/>
      <c r="G339"/>
      <c r="H339"/>
      <c r="I339" s="158"/>
      <c r="J339"/>
      <c r="K339"/>
      <c r="L339"/>
      <c r="M339"/>
      <c r="N339"/>
      <c r="O339"/>
      <c r="P339"/>
      <c r="Q339"/>
    </row>
    <row r="340" spans="6:17" ht="12.75">
      <c r="F340" s="158"/>
      <c r="G340"/>
      <c r="H340"/>
      <c r="I340" s="158"/>
      <c r="J340"/>
      <c r="K340"/>
      <c r="L340"/>
      <c r="M340"/>
      <c r="N340"/>
      <c r="O340"/>
      <c r="P340"/>
      <c r="Q340"/>
    </row>
    <row r="341" spans="6:17" ht="12.75">
      <c r="F341" s="158"/>
      <c r="G341"/>
      <c r="H341"/>
      <c r="I341" s="158"/>
      <c r="J341"/>
      <c r="K341"/>
      <c r="L341"/>
      <c r="M341"/>
      <c r="N341"/>
      <c r="O341"/>
      <c r="P341"/>
      <c r="Q341"/>
    </row>
    <row r="342" spans="6:17" ht="12.75">
      <c r="F342" s="158"/>
      <c r="G342"/>
      <c r="H342"/>
      <c r="I342" s="158"/>
      <c r="J342"/>
      <c r="K342"/>
      <c r="L342"/>
      <c r="M342"/>
      <c r="N342"/>
      <c r="O342"/>
      <c r="P342"/>
      <c r="Q342"/>
    </row>
    <row r="343" spans="6:17" ht="9.75" customHeight="1">
      <c r="F343" s="158"/>
      <c r="G343"/>
      <c r="H343"/>
      <c r="I343" s="158"/>
      <c r="J343"/>
      <c r="K343"/>
      <c r="L343"/>
      <c r="M343"/>
      <c r="N343"/>
      <c r="O343"/>
      <c r="P343"/>
      <c r="Q343"/>
    </row>
    <row r="344" spans="6:17" ht="12.75">
      <c r="F344" s="158"/>
      <c r="G344"/>
      <c r="H344"/>
      <c r="I344" s="158"/>
      <c r="J344"/>
      <c r="K344"/>
      <c r="L344"/>
      <c r="M344"/>
      <c r="N344"/>
      <c r="O344"/>
      <c r="P344"/>
      <c r="Q344"/>
    </row>
    <row r="345" spans="6:17" ht="12.75">
      <c r="F345" s="158"/>
      <c r="G345"/>
      <c r="H345"/>
      <c r="I345" s="158"/>
      <c r="J345"/>
      <c r="K345"/>
      <c r="L345"/>
      <c r="M345"/>
      <c r="N345"/>
      <c r="O345"/>
      <c r="P345"/>
      <c r="Q345"/>
    </row>
    <row r="346" spans="6:17" ht="12.75">
      <c r="F346" s="158"/>
      <c r="G346"/>
      <c r="H346"/>
      <c r="I346" s="158"/>
      <c r="J346"/>
      <c r="K346"/>
      <c r="L346"/>
      <c r="M346"/>
      <c r="N346"/>
      <c r="O346"/>
      <c r="P346"/>
      <c r="Q346"/>
    </row>
    <row r="347" spans="6:17" ht="12.75">
      <c r="F347" s="158"/>
      <c r="G347"/>
      <c r="H347"/>
      <c r="I347" s="158"/>
      <c r="J347"/>
      <c r="K347"/>
      <c r="L347"/>
      <c r="M347"/>
      <c r="N347"/>
      <c r="O347"/>
      <c r="P347"/>
      <c r="Q347"/>
    </row>
    <row r="348" spans="6:17" ht="12.75">
      <c r="F348" s="158"/>
      <c r="G348"/>
      <c r="H348"/>
      <c r="I348" s="158"/>
      <c r="J348"/>
      <c r="K348"/>
      <c r="L348"/>
      <c r="M348"/>
      <c r="N348"/>
      <c r="O348"/>
      <c r="P348"/>
      <c r="Q348"/>
    </row>
    <row r="349" spans="6:17" ht="12.75">
      <c r="F349" s="158"/>
      <c r="G349"/>
      <c r="H349"/>
      <c r="I349" s="158"/>
      <c r="J349"/>
      <c r="K349"/>
      <c r="L349"/>
      <c r="M349"/>
      <c r="N349"/>
      <c r="O349"/>
      <c r="P349"/>
      <c r="Q349"/>
    </row>
    <row r="350" spans="6:17" ht="12.75">
      <c r="F350" s="158"/>
      <c r="G350"/>
      <c r="H350"/>
      <c r="I350" s="158"/>
      <c r="J350"/>
      <c r="K350"/>
      <c r="L350"/>
      <c r="M350"/>
      <c r="N350"/>
      <c r="O350"/>
      <c r="P350"/>
      <c r="Q350"/>
    </row>
    <row r="351" spans="6:17" ht="12.75">
      <c r="F351" s="158"/>
      <c r="G351"/>
      <c r="H351"/>
      <c r="I351" s="158"/>
      <c r="J351"/>
      <c r="K351"/>
      <c r="L351"/>
      <c r="M351"/>
      <c r="N351"/>
      <c r="O351"/>
      <c r="P351"/>
      <c r="Q351"/>
    </row>
    <row r="352" spans="6:17" ht="12.75">
      <c r="F352" s="158"/>
      <c r="G352"/>
      <c r="H352"/>
      <c r="I352" s="158"/>
      <c r="J352"/>
      <c r="K352"/>
      <c r="L352"/>
      <c r="M352"/>
      <c r="N352"/>
      <c r="O352"/>
      <c r="P352"/>
      <c r="Q352"/>
    </row>
    <row r="353" spans="6:17" ht="12.75">
      <c r="F353" s="158"/>
      <c r="G353"/>
      <c r="H353"/>
      <c r="I353" s="158"/>
      <c r="J353"/>
      <c r="K353"/>
      <c r="L353"/>
      <c r="M353"/>
      <c r="N353"/>
      <c r="O353"/>
      <c r="P353"/>
      <c r="Q353"/>
    </row>
    <row r="354" spans="6:17" ht="12.75">
      <c r="F354" s="158"/>
      <c r="G354"/>
      <c r="H354"/>
      <c r="I354" s="158"/>
      <c r="J354"/>
      <c r="K354"/>
      <c r="L354"/>
      <c r="M354"/>
      <c r="N354"/>
      <c r="O354"/>
      <c r="P354"/>
      <c r="Q354"/>
    </row>
    <row r="355" spans="6:17" ht="12.75">
      <c r="F355" s="158"/>
      <c r="G355"/>
      <c r="H355"/>
      <c r="I355" s="158"/>
      <c r="J355"/>
      <c r="K355"/>
      <c r="L355"/>
      <c r="M355"/>
      <c r="N355"/>
      <c r="O355"/>
      <c r="P355"/>
      <c r="Q355"/>
    </row>
    <row r="356" spans="6:17" ht="12.75">
      <c r="F356" s="158"/>
      <c r="G356"/>
      <c r="H356"/>
      <c r="I356" s="158"/>
      <c r="J356"/>
      <c r="K356"/>
      <c r="L356"/>
      <c r="M356"/>
      <c r="N356"/>
      <c r="O356"/>
      <c r="P356"/>
      <c r="Q356"/>
    </row>
    <row r="357" spans="6:17" ht="12.75">
      <c r="F357" s="158"/>
      <c r="G357"/>
      <c r="H357"/>
      <c r="I357" s="158"/>
      <c r="J357"/>
      <c r="K357"/>
      <c r="L357"/>
      <c r="M357"/>
      <c r="N357"/>
      <c r="O357"/>
      <c r="P357"/>
      <c r="Q357"/>
    </row>
    <row r="358" spans="6:17" ht="12.75">
      <c r="F358" s="158"/>
      <c r="G358"/>
      <c r="H358"/>
      <c r="I358" s="158"/>
      <c r="J358"/>
      <c r="K358"/>
      <c r="L358"/>
      <c r="M358"/>
      <c r="N358"/>
      <c r="O358"/>
      <c r="P358"/>
      <c r="Q358"/>
    </row>
    <row r="359" spans="6:17" ht="12.75">
      <c r="F359" s="158"/>
      <c r="G359"/>
      <c r="H359"/>
      <c r="I359" s="158"/>
      <c r="J359"/>
      <c r="K359"/>
      <c r="L359"/>
      <c r="M359"/>
      <c r="N359"/>
      <c r="O359"/>
      <c r="P359"/>
      <c r="Q359"/>
    </row>
    <row r="360" spans="6:17" ht="12.75">
      <c r="F360" s="158"/>
      <c r="G360"/>
      <c r="H360"/>
      <c r="I360" s="158"/>
      <c r="J360"/>
      <c r="K360"/>
      <c r="L360"/>
      <c r="M360"/>
      <c r="N360"/>
      <c r="O360"/>
      <c r="P360"/>
      <c r="Q360"/>
    </row>
    <row r="361" spans="6:17" ht="12.75">
      <c r="F361" s="158"/>
      <c r="G361"/>
      <c r="H361"/>
      <c r="I361" s="158"/>
      <c r="J361"/>
      <c r="K361"/>
      <c r="L361"/>
      <c r="M361"/>
      <c r="N361"/>
      <c r="O361"/>
      <c r="P361"/>
      <c r="Q361"/>
    </row>
    <row r="362" spans="6:17" ht="12.75">
      <c r="F362" s="158"/>
      <c r="G362"/>
      <c r="H362"/>
      <c r="I362" s="158"/>
      <c r="J362"/>
      <c r="K362"/>
      <c r="L362"/>
      <c r="M362"/>
      <c r="N362"/>
      <c r="O362"/>
      <c r="P362"/>
      <c r="Q362"/>
    </row>
    <row r="363" spans="6:17" ht="12.75">
      <c r="F363" s="158"/>
      <c r="G363"/>
      <c r="H363"/>
      <c r="I363" s="158"/>
      <c r="J363"/>
      <c r="K363"/>
      <c r="L363"/>
      <c r="M363"/>
      <c r="N363"/>
      <c r="O363"/>
      <c r="P363"/>
      <c r="Q363"/>
    </row>
    <row r="364" spans="6:17" ht="12.75">
      <c r="F364" s="158"/>
      <c r="G364"/>
      <c r="H364"/>
      <c r="I364" s="158"/>
      <c r="J364"/>
      <c r="K364"/>
      <c r="L364"/>
      <c r="M364"/>
      <c r="N364"/>
      <c r="O364"/>
      <c r="P364"/>
      <c r="Q364"/>
    </row>
    <row r="365" spans="6:17" ht="12.75">
      <c r="F365" s="158"/>
      <c r="G365"/>
      <c r="H365"/>
      <c r="I365" s="158"/>
      <c r="J365"/>
      <c r="K365"/>
      <c r="L365"/>
      <c r="M365"/>
      <c r="N365"/>
      <c r="O365"/>
      <c r="P365"/>
      <c r="Q365"/>
    </row>
    <row r="366" spans="6:17" ht="12.75">
      <c r="F366" s="158"/>
      <c r="G366"/>
      <c r="H366"/>
      <c r="I366" s="158"/>
      <c r="J366"/>
      <c r="K366"/>
      <c r="L366"/>
      <c r="M366"/>
      <c r="N366"/>
      <c r="O366"/>
      <c r="P366"/>
      <c r="Q366"/>
    </row>
    <row r="367" spans="6:17" ht="12.75">
      <c r="F367" s="158"/>
      <c r="G367"/>
      <c r="H367"/>
      <c r="I367" s="158"/>
      <c r="J367"/>
      <c r="K367"/>
      <c r="L367"/>
      <c r="M367"/>
      <c r="N367"/>
      <c r="O367"/>
      <c r="P367"/>
      <c r="Q367"/>
    </row>
    <row r="368" spans="6:17" ht="12.75">
      <c r="F368" s="158"/>
      <c r="G368"/>
      <c r="H368"/>
      <c r="I368" s="158"/>
      <c r="J368"/>
      <c r="K368"/>
      <c r="L368"/>
      <c r="M368"/>
      <c r="N368"/>
      <c r="O368"/>
      <c r="P368"/>
      <c r="Q368"/>
    </row>
    <row r="369" spans="6:17" ht="12.75">
      <c r="F369" s="158"/>
      <c r="G369"/>
      <c r="H369"/>
      <c r="I369" s="158"/>
      <c r="J369"/>
      <c r="K369"/>
      <c r="L369"/>
      <c r="M369"/>
      <c r="N369"/>
      <c r="O369"/>
      <c r="P369"/>
      <c r="Q369"/>
    </row>
    <row r="370" spans="6:17" ht="12.75">
      <c r="F370" s="158"/>
      <c r="G370"/>
      <c r="H370"/>
      <c r="I370" s="158"/>
      <c r="J370"/>
      <c r="K370"/>
      <c r="L370"/>
      <c r="M370"/>
      <c r="N370"/>
      <c r="O370"/>
      <c r="P370"/>
      <c r="Q370"/>
    </row>
    <row r="371" spans="6:17" ht="12.75">
      <c r="F371" s="158"/>
      <c r="G371"/>
      <c r="H371"/>
      <c r="I371" s="158"/>
      <c r="J371"/>
      <c r="K371"/>
      <c r="L371"/>
      <c r="M371"/>
      <c r="N371"/>
      <c r="O371"/>
      <c r="P371"/>
      <c r="Q371"/>
    </row>
    <row r="372" spans="6:17" ht="12.75">
      <c r="F372" s="158"/>
      <c r="G372"/>
      <c r="H372"/>
      <c r="I372" s="158"/>
      <c r="J372"/>
      <c r="K372"/>
      <c r="L372"/>
      <c r="M372"/>
      <c r="N372"/>
      <c r="O372"/>
      <c r="P372"/>
      <c r="Q372"/>
    </row>
    <row r="373" spans="6:17" ht="12.75">
      <c r="F373" s="158"/>
      <c r="G373"/>
      <c r="H373"/>
      <c r="I373" s="158"/>
      <c r="J373"/>
      <c r="K373"/>
      <c r="L373"/>
      <c r="M373"/>
      <c r="N373"/>
      <c r="O373"/>
      <c r="P373"/>
      <c r="Q373"/>
    </row>
    <row r="374" spans="6:17" ht="12.75">
      <c r="F374" s="158"/>
      <c r="G374"/>
      <c r="H374"/>
      <c r="I374" s="158"/>
      <c r="J374"/>
      <c r="K374"/>
      <c r="L374"/>
      <c r="M374"/>
      <c r="N374"/>
      <c r="O374"/>
      <c r="P374"/>
      <c r="Q374"/>
    </row>
    <row r="375" spans="6:17" ht="12.75">
      <c r="F375" s="158"/>
      <c r="G375"/>
      <c r="H375"/>
      <c r="I375" s="158"/>
      <c r="J375"/>
      <c r="K375"/>
      <c r="L375"/>
      <c r="M375"/>
      <c r="N375"/>
      <c r="O375"/>
      <c r="P375"/>
      <c r="Q375"/>
    </row>
    <row r="376" spans="6:17" ht="12.75">
      <c r="F376" s="158"/>
      <c r="G376"/>
      <c r="H376"/>
      <c r="I376" s="158"/>
      <c r="J376"/>
      <c r="K376"/>
      <c r="L376"/>
      <c r="M376"/>
      <c r="N376"/>
      <c r="O376"/>
      <c r="P376"/>
      <c r="Q376"/>
    </row>
    <row r="377" spans="6:17" ht="12.75">
      <c r="F377" s="158"/>
      <c r="G377"/>
      <c r="H377"/>
      <c r="I377" s="158"/>
      <c r="J377"/>
      <c r="K377"/>
      <c r="L377"/>
      <c r="M377"/>
      <c r="N377"/>
      <c r="O377"/>
      <c r="P377"/>
      <c r="Q377"/>
    </row>
    <row r="378" spans="6:17" ht="12.75">
      <c r="F378" s="158"/>
      <c r="G378"/>
      <c r="H378"/>
      <c r="I378" s="158"/>
      <c r="J378"/>
      <c r="K378"/>
      <c r="L378"/>
      <c r="M378"/>
      <c r="N378"/>
      <c r="O378"/>
      <c r="P378"/>
      <c r="Q378"/>
    </row>
    <row r="379" spans="6:17" ht="12.75">
      <c r="F379" s="158"/>
      <c r="G379"/>
      <c r="H379"/>
      <c r="I379" s="158"/>
      <c r="J379"/>
      <c r="K379"/>
      <c r="L379"/>
      <c r="M379"/>
      <c r="N379"/>
      <c r="O379"/>
      <c r="P379"/>
      <c r="Q379"/>
    </row>
    <row r="380" spans="6:17" ht="12.75">
      <c r="F380" s="158"/>
      <c r="G380"/>
      <c r="H380"/>
      <c r="I380" s="158"/>
      <c r="J380"/>
      <c r="K380"/>
      <c r="L380"/>
      <c r="M380"/>
      <c r="N380"/>
      <c r="O380"/>
      <c r="P380"/>
      <c r="Q380"/>
    </row>
    <row r="381" spans="6:17" ht="12.75">
      <c r="F381" s="158"/>
      <c r="G381"/>
      <c r="H381"/>
      <c r="I381" s="158"/>
      <c r="J381"/>
      <c r="K381"/>
      <c r="L381"/>
      <c r="M381"/>
      <c r="N381"/>
      <c r="O381"/>
      <c r="P381"/>
      <c r="Q381"/>
    </row>
    <row r="382" spans="6:17" ht="12.75">
      <c r="F382" s="158"/>
      <c r="G382"/>
      <c r="H382"/>
      <c r="I382" s="158"/>
      <c r="J382"/>
      <c r="K382"/>
      <c r="L382"/>
      <c r="M382"/>
      <c r="N382"/>
      <c r="O382"/>
      <c r="P382"/>
      <c r="Q382"/>
    </row>
    <row r="383" spans="6:17" ht="12.75">
      <c r="F383" s="158"/>
      <c r="G383"/>
      <c r="H383"/>
      <c r="I383" s="158"/>
      <c r="J383"/>
      <c r="K383"/>
      <c r="L383"/>
      <c r="M383"/>
      <c r="N383"/>
      <c r="O383"/>
      <c r="P383"/>
      <c r="Q383"/>
    </row>
    <row r="384" spans="6:17" ht="12.75">
      <c r="F384" s="158"/>
      <c r="G384"/>
      <c r="H384"/>
      <c r="I384" s="158"/>
      <c r="J384"/>
      <c r="K384"/>
      <c r="L384"/>
      <c r="M384"/>
      <c r="N384"/>
      <c r="O384"/>
      <c r="P384"/>
      <c r="Q384"/>
    </row>
    <row r="385" spans="6:17" ht="12.75">
      <c r="F385" s="158"/>
      <c r="G385"/>
      <c r="H385"/>
      <c r="I385" s="158"/>
      <c r="J385"/>
      <c r="K385"/>
      <c r="L385"/>
      <c r="M385"/>
      <c r="N385"/>
      <c r="O385"/>
      <c r="P385"/>
      <c r="Q385"/>
    </row>
    <row r="386" spans="6:17" ht="12.75">
      <c r="F386" s="158"/>
      <c r="G386"/>
      <c r="H386"/>
      <c r="I386" s="158"/>
      <c r="J386"/>
      <c r="K386"/>
      <c r="L386"/>
      <c r="M386"/>
      <c r="N386"/>
      <c r="O386"/>
      <c r="P386"/>
      <c r="Q386"/>
    </row>
    <row r="387" spans="6:17" ht="12.75">
      <c r="F387" s="158"/>
      <c r="G387"/>
      <c r="H387"/>
      <c r="I387" s="158"/>
      <c r="J387"/>
      <c r="K387"/>
      <c r="L387"/>
      <c r="M387"/>
      <c r="N387"/>
      <c r="O387"/>
      <c r="P387"/>
      <c r="Q387"/>
    </row>
    <row r="388" spans="6:17" ht="12.75">
      <c r="F388" s="158"/>
      <c r="G388"/>
      <c r="H388"/>
      <c r="I388" s="158"/>
      <c r="J388"/>
      <c r="K388"/>
      <c r="L388"/>
      <c r="M388"/>
      <c r="N388"/>
      <c r="O388"/>
      <c r="P388"/>
      <c r="Q388"/>
    </row>
    <row r="389" spans="6:17" ht="12.75">
      <c r="F389" s="158"/>
      <c r="G389"/>
      <c r="H389"/>
      <c r="I389" s="158"/>
      <c r="J389"/>
      <c r="K389"/>
      <c r="L389"/>
      <c r="M389"/>
      <c r="N389"/>
      <c r="O389"/>
      <c r="P389"/>
      <c r="Q389"/>
    </row>
    <row r="390" spans="6:17" ht="12.75">
      <c r="F390" s="158"/>
      <c r="G390"/>
      <c r="H390"/>
      <c r="I390" s="158"/>
      <c r="J390"/>
      <c r="K390"/>
      <c r="L390"/>
      <c r="M390"/>
      <c r="N390"/>
      <c r="O390"/>
      <c r="P390"/>
      <c r="Q390"/>
    </row>
    <row r="391" spans="6:17" ht="12.75">
      <c r="F391" s="158"/>
      <c r="G391"/>
      <c r="H391"/>
      <c r="I391" s="158"/>
      <c r="J391"/>
      <c r="K391"/>
      <c r="L391"/>
      <c r="M391"/>
      <c r="N391"/>
      <c r="O391"/>
      <c r="P391"/>
      <c r="Q391"/>
    </row>
    <row r="392" spans="6:17" ht="12.75">
      <c r="F392" s="158"/>
      <c r="G392"/>
      <c r="H392"/>
      <c r="I392" s="158"/>
      <c r="J392"/>
      <c r="K392"/>
      <c r="L392"/>
      <c r="M392"/>
      <c r="N392"/>
      <c r="O392"/>
      <c r="P392"/>
      <c r="Q392"/>
    </row>
    <row r="393" spans="6:17" ht="12.75">
      <c r="F393" s="158"/>
      <c r="G393"/>
      <c r="H393"/>
      <c r="I393" s="158"/>
      <c r="J393"/>
      <c r="K393"/>
      <c r="L393"/>
      <c r="M393"/>
      <c r="N393"/>
      <c r="O393"/>
      <c r="P393"/>
      <c r="Q393"/>
    </row>
    <row r="394" spans="6:17" ht="12.75">
      <c r="F394" s="158"/>
      <c r="G394"/>
      <c r="H394"/>
      <c r="I394" s="158"/>
      <c r="J394"/>
      <c r="K394"/>
      <c r="L394"/>
      <c r="M394"/>
      <c r="N394"/>
      <c r="O394"/>
      <c r="P394"/>
      <c r="Q394"/>
    </row>
    <row r="395" spans="6:17" ht="12.75">
      <c r="F395" s="158"/>
      <c r="G395"/>
      <c r="H395"/>
      <c r="I395" s="158"/>
      <c r="J395"/>
      <c r="K395"/>
      <c r="L395"/>
      <c r="M395"/>
      <c r="N395"/>
      <c r="O395"/>
      <c r="P395"/>
      <c r="Q3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B14" sqref="B14"/>
    </sheetView>
  </sheetViews>
  <sheetFormatPr defaultColWidth="9.140625" defaultRowHeight="12.75"/>
  <cols>
    <col min="1" max="1" width="20.8515625" style="0" customWidth="1"/>
    <col min="2" max="2" width="19.28125" style="0" customWidth="1"/>
    <col min="4" max="4" width="17.421875" style="0" bestFit="1" customWidth="1"/>
    <col min="5" max="8" width="12.28125" style="0" bestFit="1" customWidth="1"/>
  </cols>
  <sheetData>
    <row r="2" ht="13.5" thickBot="1"/>
    <row r="3" spans="3:8" ht="25.5">
      <c r="C3" s="12" t="s">
        <v>58</v>
      </c>
      <c r="D3" s="2" t="s">
        <v>1</v>
      </c>
      <c r="E3" s="3" t="s">
        <v>16</v>
      </c>
      <c r="F3" s="3" t="s">
        <v>14</v>
      </c>
      <c r="G3" s="3" t="s">
        <v>2</v>
      </c>
      <c r="H3" s="3" t="s">
        <v>15</v>
      </c>
    </row>
    <row r="4" spans="3:8" ht="12.75">
      <c r="C4" s="67">
        <v>5.75</v>
      </c>
      <c r="D4" s="6">
        <v>36511</v>
      </c>
      <c r="E4" s="121">
        <v>0.0575</v>
      </c>
      <c r="F4" s="121">
        <v>0.0588</v>
      </c>
      <c r="G4" s="121">
        <v>0.0605</v>
      </c>
      <c r="H4" s="122">
        <v>0.062</v>
      </c>
    </row>
    <row r="6" spans="2:8" s="124" customFormat="1" ht="15">
      <c r="B6" s="124" t="s">
        <v>101</v>
      </c>
      <c r="C6" s="124">
        <v>90</v>
      </c>
      <c r="D6" s="125">
        <v>360</v>
      </c>
      <c r="E6" s="126">
        <f>E$4*($C$6/$D$6)</f>
        <v>0.014375</v>
      </c>
      <c r="F6" s="126">
        <f>F$4*($C$6/$D$6)</f>
        <v>0.0147</v>
      </c>
      <c r="G6" s="126">
        <f>G$4*($C$6/$D$6)</f>
        <v>0.015125</v>
      </c>
      <c r="H6" s="126">
        <f>H$4*($C$6/$D$6)</f>
        <v>0.0155</v>
      </c>
    </row>
    <row r="7" spans="1:7" ht="18">
      <c r="A7" s="123">
        <f>((1+E$6)*(1+F$6)*(1+G$6)*(1+H$6)-1)*(360/360)</f>
        <v>0.061049509130199464</v>
      </c>
      <c r="B7" s="127">
        <f>A7</f>
        <v>0.061049509130199464</v>
      </c>
      <c r="C7" s="123" t="s">
        <v>102</v>
      </c>
      <c r="D7" s="123"/>
      <c r="E7" s="123"/>
      <c r="F7" s="123"/>
      <c r="G7" s="123"/>
    </row>
    <row r="8" spans="1:2" ht="18">
      <c r="A8" s="123" t="s">
        <v>5</v>
      </c>
      <c r="B8" s="123" t="s">
        <v>5</v>
      </c>
    </row>
    <row r="9" spans="2:8" s="124" customFormat="1" ht="15">
      <c r="B9" s="124" t="s">
        <v>101</v>
      </c>
      <c r="C9" s="124">
        <v>91</v>
      </c>
      <c r="D9" s="125">
        <v>360</v>
      </c>
      <c r="E9" s="126">
        <f>E$4*($C$9/$D$9)</f>
        <v>0.014534722222222221</v>
      </c>
      <c r="F9" s="126">
        <f>F$4*($C$9/$D$9)</f>
        <v>0.014863333333333333</v>
      </c>
      <c r="G9" s="126">
        <f>G$4*($C$9/$D$9)</f>
        <v>0.015293055555555555</v>
      </c>
      <c r="H9" s="126">
        <f>H$4*($C$9/$D$9)</f>
        <v>0.015672222222222223</v>
      </c>
    </row>
    <row r="10" spans="1:7" ht="18">
      <c r="A10" s="123">
        <f>((1+E$9)*(1+F$9)*(1+G$9)*(1+H$9)-1)*(360/364)</f>
        <v>0.06106465407712917</v>
      </c>
      <c r="B10" s="127">
        <f>A10</f>
        <v>0.06106465407712917</v>
      </c>
      <c r="C10" s="123" t="s">
        <v>102</v>
      </c>
      <c r="D10" s="123"/>
      <c r="E10" s="123"/>
      <c r="F10" s="123"/>
      <c r="G10" s="123"/>
    </row>
    <row r="12" spans="1:2" ht="18">
      <c r="A12" s="123">
        <f>0.08-A10</f>
        <v>0.018935345922870835</v>
      </c>
      <c r="B12" s="13" t="s">
        <v>103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Robert E. Jenson</dc:creator>
  <cp:keywords/>
  <dc:description/>
  <cp:lastModifiedBy>rjensen</cp:lastModifiedBy>
  <cp:lastPrinted>2000-01-15T22:16:48Z</cp:lastPrinted>
  <dcterms:created xsi:type="dcterms:W3CDTF">1999-07-07T22:06:02Z</dcterms:created>
  <dcterms:modified xsi:type="dcterms:W3CDTF">2000-01-24T14:05:50Z</dcterms:modified>
  <cp:category/>
  <cp:version/>
  <cp:contentType/>
  <cp:contentStatus/>
</cp:coreProperties>
</file>