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5865" windowHeight="3645" tabRatio="601" activeTab="0"/>
  </bookViews>
  <sheets>
    <sheet name="Questions" sheetId="1" r:id="rId1"/>
    <sheet name="Accounting" sheetId="2" r:id="rId2"/>
    <sheet name="Summary" sheetId="3" r:id="rId3"/>
  </sheets>
  <externalReferences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Robert E. Jenson</author>
  </authors>
  <commentList>
    <comment ref="H148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This is the assumed rate of interest on the DM20 note.  It has nothing to do with the swap cash flows.
The original case rate specified a 8.00% rate.</t>
        </r>
      </text>
    </comment>
    <comment ref="D164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This is the assumed rate of interest on the DM20 note.  It has nothing to do with the swap cash flows.
The original case rate specified a 12.00% rate.</t>
        </r>
      </text>
    </comment>
    <comment ref="J164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This is the assumed rate of interest on the DM20 note.  It has nothing to do with the swap cash flows.
The original case rate specified a 8.00% rate.</t>
        </r>
      </text>
    </comment>
  </commentList>
</comments>
</file>

<file path=xl/comments2.xml><?xml version="1.0" encoding="utf-8"?>
<comments xmlns="http://schemas.openxmlformats.org/spreadsheetml/2006/main">
  <authors>
    <author>Robert E. Jenson</author>
  </authors>
  <commentList>
    <comment ref="G68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This is the assumed rate of interest on the DM20 note.  It has nothing to do with the swap cash flows.
The original case rate specified a 8.00% rate.</t>
        </r>
      </text>
    </comment>
    <comment ref="C84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This is the assumed rate of interest on the DM20 note.  It has nothing to do with the swap cash flows.
The original case rate specified a 12.00% rate.</t>
        </r>
      </text>
    </comment>
    <comment ref="I84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This is the assumed rate of interest on the DM20 note.  It has nothing to do with the swap cash flows.
The original case rate specified a 8.00% rate.</t>
        </r>
      </text>
    </comment>
  </commentList>
</comments>
</file>

<file path=xl/comments3.xml><?xml version="1.0" encoding="utf-8"?>
<comments xmlns="http://schemas.openxmlformats.org/spreadsheetml/2006/main">
  <authors>
    <author>Carl Hubbard</author>
  </authors>
  <commentList>
    <comment ref="C8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Accrued interest is the current preriod's LIBOR/4 x the previous period's PV of expected cash flow from the cash flow hedge.  PV of expected cash flow is calculated using an unobserved series of forward rates. </t>
        </r>
      </text>
    </comment>
    <comment ref="C9" authorId="0">
      <text>
        <r>
          <rPr>
            <b/>
            <sz val="8"/>
            <rFont val="Tahoma"/>
            <family val="2"/>
          </rPr>
          <t>Bob Jensen:</t>
        </r>
        <r>
          <rPr>
            <sz val="8"/>
            <rFont val="Tahoma"/>
            <family val="0"/>
          </rPr>
          <t xml:space="preserve">
Current period's net cash flow gain from the swap, or $222,500 - 195,250 = $27,250.</t>
        </r>
      </text>
    </comment>
    <comment ref="C10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Balancing entry the makes the sum of the previous period's swap debit (credit) + interest accrued + effect of change in rates = current period swap debit (credit).</t>
        </r>
      </text>
    </comment>
    <comment ref="C12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PV of future expected cash flow from the swap as of the end of this period.  The PV is implied from the next period's accrued interest which I assume is erroneous in the original FASB solution.  My corrected accrual solution is 
 PV = accrued interest/(LIBOR/4) = ($349.76)/(0.0563/4) = $24,850
</t>
        </r>
      </text>
    </comment>
    <comment ref="C14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Accrued interest on the PV of future expected cash flow from the swap as of the end of the previous period.  Thus, accrued interest using (LIBOR/4) = ($349.76)=($24,850)(0.0563/4) 
</t>
        </r>
      </text>
    </comment>
    <comment ref="C15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Current period's net cash flow gain from the swap, or $222,500 - 197,000 = $25,500.</t>
        </r>
      </text>
    </comment>
    <comment ref="C16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Balancing entry the makes the sum of the previous period's swap debit (credit) + interest accrued + effect of change in rates = current period swap debit (credit).</t>
        </r>
      </text>
    </comment>
    <comment ref="C18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PV of future expected cash flow from the swap as of the end of this period.  The PV is implied from the next period's accrued interest which I assume is erroneous in the original FASB solution.  My corrected accrual solution is 
PV = accrued interest/(LIBOR/4) = ($1,025.82)/(0.0556/4) = $73,800
</t>
        </r>
      </text>
    </comment>
    <comment ref="C20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Accrued interest on the PV of future expected cash flow from the swap as of the end of the previous period.  Thus, accrued interest using (LIBOR/4) = $1,026.82=($73,800)(0.0556/4) 
</t>
        </r>
      </text>
    </comment>
    <comment ref="C21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Current period's net cash flow gain from the swap, or $222,500 - 195,250 = $27,250.</t>
        </r>
      </text>
    </comment>
    <comment ref="C22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Balancing entry the makes the sum of the previous period's swap debit (credit) + interest accrued + effect of change in rates = current period swap debit (credit).</t>
        </r>
      </text>
    </comment>
    <comment ref="C24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PV of future expected cash flow from the swap as of the end of this period.  The PV is implied from the next period's accrued interest which I assume is erroneous in the original FASB solution.  My corrected accrual solution is 
PV = accrued interest/(LIBOR/4) = $1,174.82/(0.0547/4) = $85,910
</t>
        </r>
      </text>
    </comment>
    <comment ref="C26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Accrued interest on the PV of future expected cash flow from the swap as of the end of the previous period.  Thus, accrued interest using (LIBOR/4) = $1,174.82= ($85,910)(0.0547/4) </t>
        </r>
      </text>
    </comment>
    <comment ref="C27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Current period's net cash flow gain from the swap.</t>
        </r>
      </text>
    </comment>
    <comment ref="C28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Balancing entry the makes the sum of the previous period's swap debit (credit) + interest accrued + effect of change in rates = current period swap debit (credit).</t>
        </r>
      </text>
    </comment>
    <comment ref="C30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PV of future expected cash flow from the swap as of the end of this period.  The PV is implied from the next period's accrued interest which I assume is erroneous in the original FASB solution.  My corrected accrual solution is 
PV = accrued interest/(LIBOR/4) = (-$722.59)/(0.0675/4) = -$42,820
</t>
        </r>
      </text>
    </comment>
    <comment ref="C32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Accrued interest on the PV of future expected cash flow from the swap as of the end of the previous period.  Thus, accrued interest using (LIBOR/4) = -$722.59= (-$42,820)(0.0675/4) </t>
        </r>
      </text>
    </comment>
    <comment ref="C33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Current period's net cash flow gain from the swap.</t>
        </r>
      </text>
    </comment>
    <comment ref="C34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Balancing entry the makes the sum of the previous period's swap debit (credit) + interest accrued + effect of change in rates = current period swap debit (credit).</t>
        </r>
      </text>
    </comment>
    <comment ref="C36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PV of future expected cash flow from the swap as of the end of this period.  The PV is implied from the next period's accrued interest which I assume is erroneous in the original FASB solution.  My corrected accrual solution is 
PV = accrued interest/(LIBOR/4) = (-$568.69)/(0.0686/4) = -$33,160
</t>
        </r>
      </text>
    </comment>
    <comment ref="C38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Accrued interest on the PV of future expected cash flow from the swap as of the end of the previous period.  Thus, accrued interest using (LIBOR/4) = -$568.69= (-$33,160)(0.0686/4) </t>
        </r>
      </text>
    </comment>
    <comment ref="C39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Current period's net cash flow gain from the swap.</t>
        </r>
      </text>
    </comment>
    <comment ref="C40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Balancing entry the makes the sum of the previous period's swap debit (credit) + interest accrued + effect of change in rates = current period swap debit (credit).</t>
        </r>
      </text>
    </comment>
    <comment ref="C42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PV of future expected cash flow from the swap as of the end of this period.  The PV is implied from the next period's accrued interest which I assume is erroneous in the original FASB solution.  My corrected accrual solution is
PV = accrued interest/(LIBOR/4) = (-$380.74)/(0.0697/4) = -$21,850
</t>
        </r>
      </text>
    </comment>
    <comment ref="C44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Accrued interest on the PV of future expected cash flow from the swap as of the end of the previous period.  Thus, accrued interest using (LIBOR/4) = -$380.74= (-$21,850)(0.0697/4) </t>
        </r>
      </text>
    </comment>
    <comment ref="C45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Current period's net cash flow gain from the swap.</t>
        </r>
      </text>
    </comment>
    <comment ref="C46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Balancing entry the makes the sum of the previous period's swap debit (credit) + interest accrued + effect of change in rates = current period swap debit (credit).</t>
        </r>
      </text>
    </comment>
    <comment ref="C48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PV of future expected cash flow from the swap as of the end of this period.  The PV is implied from the next period's accrued interest, which I assume as a given.  Thus, PV = accrued interest/(LIBOR/4) = ($32.19)/(0.0657/4) = $1,960
</t>
        </r>
      </text>
    </comment>
    <comment ref="C50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Accrued interest on the PV of future expected cash flow from the swap as of the end of the previous period.  Thus, accrued interest using (LIBOR/4) = $32.19= ($1,960)(0.0657/4) </t>
        </r>
      </text>
    </comment>
    <comment ref="C51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Current period's net cash flow gain from the swap.</t>
        </r>
      </text>
    </comment>
    <comment ref="C52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Balancing entry the makes the sum of the previous period's swap debit (credit) + interest accrued + effect of change in rates = current period swap debit (credit).</t>
        </r>
      </text>
    </comment>
    <comment ref="C54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Consistent with the assumption of no ineffectiveness, the swap debit (credit) balance is zero.</t>
        </r>
      </text>
    </comment>
  </commentList>
</comments>
</file>

<file path=xl/sharedStrings.xml><?xml version="1.0" encoding="utf-8"?>
<sst xmlns="http://schemas.openxmlformats.org/spreadsheetml/2006/main" count="980" uniqueCount="300">
  <si>
    <t>Interest accrued</t>
  </si>
  <si>
    <t>Payment (Receipt)</t>
  </si>
  <si>
    <t>Effect of change in rates</t>
  </si>
  <si>
    <t>Reclassification to earnings</t>
  </si>
  <si>
    <t>7/1/X1</t>
  </si>
  <si>
    <t>Swap</t>
  </si>
  <si>
    <t>Debit (Credit)</t>
  </si>
  <si>
    <t>OCI</t>
  </si>
  <si>
    <t>Earnings</t>
  </si>
  <si>
    <t>Cash</t>
  </si>
  <si>
    <t>12/31/X1</t>
  </si>
  <si>
    <t>3/31/X2</t>
  </si>
  <si>
    <t>6/30/X2</t>
  </si>
  <si>
    <t>9/30/X2</t>
  </si>
  <si>
    <t>12/31/X2</t>
  </si>
  <si>
    <t>9/30/X1</t>
  </si>
  <si>
    <t>3/31/X3</t>
  </si>
  <si>
    <t>6/30/X3</t>
  </si>
  <si>
    <t>Rounding error</t>
  </si>
  <si>
    <t>Note</t>
  </si>
  <si>
    <t>Quarter</t>
  </si>
  <si>
    <t xml:space="preserve"> </t>
  </si>
  <si>
    <t>Debit</t>
  </si>
  <si>
    <t>Balance</t>
  </si>
  <si>
    <t>Interest</t>
  </si>
  <si>
    <t>Value</t>
  </si>
  <si>
    <t>Rate</t>
  </si>
  <si>
    <t>Retained earnings</t>
  </si>
  <si>
    <t>Interest expense/revenue</t>
  </si>
  <si>
    <t>-To close interest expense/revenue</t>
  </si>
  <si>
    <t>Estimated</t>
  </si>
  <si>
    <t>= Question Number</t>
  </si>
  <si>
    <t>(Credit)</t>
  </si>
  <si>
    <t xml:space="preserve">Warning:  This file is best viewed in Excel software rather than in a web browser.  </t>
  </si>
  <si>
    <t>Date</t>
  </si>
  <si>
    <t>Quarterly</t>
  </si>
  <si>
    <t>Unhedged</t>
  </si>
  <si>
    <t>Hedged</t>
  </si>
  <si>
    <t>Cash Flow</t>
  </si>
  <si>
    <t>The journal entries corresponding to the above outcomes are shown below.</t>
  </si>
  <si>
    <t>Amount</t>
  </si>
  <si>
    <t>Variable</t>
  </si>
  <si>
    <t>Swap's</t>
  </si>
  <si>
    <t>Cash Flow Hedge of Variable-Rate Interest-Bearing Asset</t>
  </si>
  <si>
    <t>OCI adjusted for changes in the swap valuation</t>
  </si>
  <si>
    <t>Rates</t>
  </si>
  <si>
    <t>-To close expense and revenue accounts</t>
  </si>
  <si>
    <t>This is Bob Jensen's answer file.</t>
  </si>
  <si>
    <t xml:space="preserve">                   Call (800) 748-0659 or go to web site http://www.rutgers.edu/Accounting/raw/fasb/home2.html</t>
  </si>
  <si>
    <t>Statement on derivatives is available as Publication Number 186-B, June 1998, Product Code S133</t>
  </si>
  <si>
    <t xml:space="preserve">                   FASB Statement No. 133, Accounting for Derivative  Instruments and Hedging Activities</t>
  </si>
  <si>
    <t>Questions</t>
  </si>
  <si>
    <t>Ex Ante</t>
  </si>
  <si>
    <t>Receive fixed/Pay variable</t>
  </si>
  <si>
    <t>Yield</t>
  </si>
  <si>
    <t>Curve</t>
  </si>
  <si>
    <t>Maturity</t>
  </si>
  <si>
    <t>rates</t>
  </si>
  <si>
    <t>t</t>
  </si>
  <si>
    <t>Receive</t>
  </si>
  <si>
    <t>Pay</t>
  </si>
  <si>
    <t>Totals</t>
  </si>
  <si>
    <t>Swap Value</t>
  </si>
  <si>
    <t>Ex Post</t>
  </si>
  <si>
    <t>forward</t>
  </si>
  <si>
    <t>cash flow</t>
  </si>
  <si>
    <t>Quarters</t>
  </si>
  <si>
    <t>yields</t>
  </si>
  <si>
    <t>Net Effect</t>
  </si>
  <si>
    <t>remaining</t>
  </si>
  <si>
    <t>FVIF</t>
  </si>
  <si>
    <t>= Sept. 30 Swap Value</t>
  </si>
  <si>
    <t>= Dec 31 Swap Value</t>
  </si>
  <si>
    <t>= Mar 31 Swap Value</t>
  </si>
  <si>
    <t>Accrued interest on swap</t>
  </si>
  <si>
    <t>Accrued</t>
  </si>
  <si>
    <t xml:space="preserve">                   FASB Statement No. 138, an amendment of FASB Statement No. 133, Document No. 210-B</t>
  </si>
  <si>
    <t xml:space="preserve">                   Copies are subject to academic discounting.</t>
  </si>
  <si>
    <t>Working Paper 287 Case on Foreign Currency Swap Valuation and Accounting</t>
  </si>
  <si>
    <t>in German marks at DM600,000 per quarter on a DM20 million outstanding note payable.  The</t>
  </si>
  <si>
    <t>XYZ enters into a currency swap with ABC Bank</t>
  </si>
  <si>
    <t xml:space="preserve">At the beginning of the swap, notional amounts are exchanged such that ABC receives </t>
  </si>
  <si>
    <t xml:space="preserve">DM20 million and pays XYZ $10 million in US dollars.  When the swap is terminated, </t>
  </si>
  <si>
    <t>XYZ Company's existing DM obligation</t>
  </si>
  <si>
    <t xml:space="preserve">In summary, XYZ company declares the swap with ABC Bank as a foreign currency hedge </t>
  </si>
  <si>
    <t>leading to foreign currency losses in both the DM600,000 payments and the $20 million pay off.</t>
  </si>
  <si>
    <t>ABC receives its $10 million back and returns the DM20 million to the XYZ Company.  XYZ</t>
  </si>
  <si>
    <t>in turn, uses this DM20 million to pay off its existing debt in German marks on June 30, 2003.</t>
  </si>
  <si>
    <t>against its existing obligation.  Since only DM510,000 is received each quarter under the swap, the swap</t>
  </si>
  <si>
    <t xml:space="preserve"> Working Paper 287</t>
  </si>
  <si>
    <t>Foreign Currency Hedge of Fixed-Rate Interest-Bearing Foreign Debt</t>
  </si>
  <si>
    <t>on the swap each quarter and receives DM510,000 in return.  The swap is actually</t>
  </si>
  <si>
    <t>ABC</t>
  </si>
  <si>
    <t>XYZ</t>
  </si>
  <si>
    <t>Spot DM/$</t>
  </si>
  <si>
    <t>Notional</t>
  </si>
  <si>
    <t>Hedged Item</t>
  </si>
  <si>
    <t>Quarterly Rate</t>
  </si>
  <si>
    <t xml:space="preserve">XYZ </t>
  </si>
  <si>
    <t>Swap Payout</t>
  </si>
  <si>
    <t>Swap Incoming</t>
  </si>
  <si>
    <t>FX-Adjusted</t>
  </si>
  <si>
    <t>Dollars</t>
  </si>
  <si>
    <t>US$ Swap</t>
  </si>
  <si>
    <t>DM Swap</t>
  </si>
  <si>
    <t>XZY Net</t>
  </si>
  <si>
    <t>Swap Outgoing</t>
  </si>
  <si>
    <t>FX</t>
  </si>
  <si>
    <t>Forward</t>
  </si>
  <si>
    <t>Fixed</t>
  </si>
  <si>
    <t xml:space="preserve">Cash </t>
  </si>
  <si>
    <t>Flow</t>
  </si>
  <si>
    <t>DM/$</t>
  </si>
  <si>
    <t>Notes  payable</t>
  </si>
  <si>
    <t>Foreign currency swaps receivable/payable</t>
  </si>
  <si>
    <t>-To record payment on German mark note</t>
  </si>
  <si>
    <t>-To record swap receipt (payment)</t>
  </si>
  <si>
    <t>-To record the 12% Note payable in German marks</t>
  </si>
  <si>
    <t xml:space="preserve">-To record the swap of notional amounts </t>
  </si>
  <si>
    <t>-To record exchange of swap notionals</t>
  </si>
  <si>
    <t>Notes payable</t>
  </si>
  <si>
    <t>-To record payoff of original German mark note</t>
  </si>
  <si>
    <t>Expense</t>
  </si>
  <si>
    <t>in DM</t>
  </si>
  <si>
    <t>Summary of Unhedged Versus Hedged Note Interest</t>
  </si>
  <si>
    <t>Foreign</t>
  </si>
  <si>
    <t>Currency</t>
  </si>
  <si>
    <t>Total =</t>
  </si>
  <si>
    <t xml:space="preserve">Question:  Why does the hedged note rate of interest vary when the original note rate </t>
  </si>
  <si>
    <t>Answer:</t>
  </si>
  <si>
    <t xml:space="preserve">interest is hedged.  Only 10.20% is hedged.  In other words, the 12.00% rate gives rise </t>
  </si>
  <si>
    <t xml:space="preserve">                   of interest is 12.00% on a principal of DM 20 million?</t>
  </si>
  <si>
    <t>to a DM600,000 quarterly payments on the note.  However, only 10.20% is received</t>
  </si>
  <si>
    <t xml:space="preserve">under the swap giving rise to an inflow of DM510,000 to XYZ each quarter.  This leaves </t>
  </si>
  <si>
    <t>DM90,000 of the note interest unhedged.</t>
  </si>
  <si>
    <t xml:space="preserve">should have been equal to the swap interest rate of 10.20% or the swap rate of interest </t>
  </si>
  <si>
    <t>should have been equal to the 12.00% note rate of interest.</t>
  </si>
  <si>
    <t>In this solution, you are allowed to examine the sensitivity of the hedge by changing the original</t>
  </si>
  <si>
    <t>The value of the swap each quarter is not affected directly by interest rate movements unless the</t>
  </si>
  <si>
    <t>swap has a variable interest rate leg to the swap.  In the Working Paper 287 case. Both XYZ Company</t>
  </si>
  <si>
    <t>and ABC Bank have fixed interest rates.  Hence, interest rate movements do not impact upon the</t>
  </si>
  <si>
    <t>swap value in the Working Paper 287 case.</t>
  </si>
  <si>
    <t>The value of the swap each quarter is affected by the ex ante forward rates of exchange between</t>
  </si>
  <si>
    <t>German marks and U.S. dollars.  XYZ's swap receipts are affected by the ex post spot rates.</t>
  </si>
  <si>
    <t>In the table below, students can study the impact of changing exchange rates on the hedge.</t>
  </si>
  <si>
    <t>Students may change any value in blue shown below.</t>
  </si>
  <si>
    <t>-To record change in swap's fairvalue</t>
  </si>
  <si>
    <t>Loss (gain) on swap overhedging</t>
  </si>
  <si>
    <t>Hypothetical</t>
  </si>
  <si>
    <t>Due to</t>
  </si>
  <si>
    <t>Swap in $</t>
  </si>
  <si>
    <t>Overhedged</t>
  </si>
  <si>
    <t>Underhedged</t>
  </si>
  <si>
    <t>(Overhedged)</t>
  </si>
  <si>
    <t>Swap in %</t>
  </si>
  <si>
    <t>Proportion</t>
  </si>
  <si>
    <t xml:space="preserve">If XYZ Company does not enter into the swap with ABC Bank, what </t>
  </si>
  <si>
    <t>interest rate risk and foreign currency risks are faced by XYZ?</t>
  </si>
  <si>
    <t>There is no interest rate risk, because its DM20 million outstanding loan has a</t>
  </si>
  <si>
    <t>fixed 12.00% rate of interest.   However, since the interest is payable in German</t>
  </si>
  <si>
    <t>marks, there is a foreign currency risk in that the amount of dollars needed to</t>
  </si>
  <si>
    <t>acquire the German marks for each payment may vary with the DM/$ FX rate.</t>
  </si>
  <si>
    <t>Also there is a huge foreign exchange risk on the DM20 million that must be</t>
  </si>
  <si>
    <t>repaid at maturity of the loan.</t>
  </si>
  <si>
    <t>hedge, one of the legs must have a variable (floating) rate.  You can read</t>
  </si>
  <si>
    <t>about cross-currency hedges under "Foreign Currency Hedges" in Bob Jensen's</t>
  </si>
  <si>
    <t>http://www.trinity.edu/ACCT5341/speakers/133glosf.htm#F-Terms</t>
  </si>
  <si>
    <t>FAS 133 and IAS 39 Glossary at the website shown below:</t>
  </si>
  <si>
    <t>No!  Both legs of the hedge have a fixed rate of interest.  For a cross-currency</t>
  </si>
  <si>
    <t>If the DM20 million debt has a fixed rate of 12.00%, has XYZ Company underhedged</t>
  </si>
  <si>
    <t>Recall that there are two types of FX risk involved.  The huge FX risk of having</t>
  </si>
  <si>
    <t>DM20 million marks available at the debt's maturity date is perfectly hedged by</t>
  </si>
  <si>
    <t>the swap.  The quarterly interest payments of DM600,000 under the 12.00% loan</t>
  </si>
  <si>
    <t>Without</t>
  </si>
  <si>
    <t>The</t>
  </si>
  <si>
    <t xml:space="preserve">Thus, in hind sight the German mark strengthened against the dollar, and </t>
  </si>
  <si>
    <t>Since the DM20 million note is at a fixed rate, there is a fair value risk in that</t>
  </si>
  <si>
    <t>the value of the note will vary inversely with movements in interest rates.  XYZ</t>
  </si>
  <si>
    <t xml:space="preserve">did not hedge fair value with this swap since all legs of the swap are at fixed </t>
  </si>
  <si>
    <t>interest rates.</t>
  </si>
  <si>
    <t>in German marks.  The swap, thereby, hedges some or all of the FX risk of</t>
  </si>
  <si>
    <t xml:space="preserve">paragraphs in FAS 133 allow for the hedged portion to receive cash flow </t>
  </si>
  <si>
    <t>accounting treatment and use OCI for changes in fair value of the swap?</t>
  </si>
  <si>
    <t xml:space="preserve">Paragraph 18(d)(3) is the key paragraph that dictates use of OCI in this case.  </t>
  </si>
  <si>
    <t>However, FAS 133 is silent with respect to hedging a portion of a single item</t>
  </si>
  <si>
    <t>Is FAS 133 Paragraph 461 a problem in this respect?</t>
  </si>
  <si>
    <t>Paragraph 461 does not appear to be a problem in this case since every part</t>
  </si>
  <si>
    <t>of the DM20 million debt shares the same rate and maturity.  Paragraph 461</t>
  </si>
  <si>
    <t>is more concerned with a bundling of instruments having different maturity</t>
  </si>
  <si>
    <t>dates or or other terms that impact upon risk and return.</t>
  </si>
  <si>
    <t>If would seem that the wording of Paragraph 462 extends by analogy to the</t>
  </si>
  <si>
    <t>dates and all proportions of the DM20 million loan have the same terms.</t>
  </si>
  <si>
    <t>record all interest payments, swap payments, interest accruals, and the adjustment</t>
  </si>
  <si>
    <t>of the swap to fair value each quarter.  For the interest accruals, simply multiply</t>
  </si>
  <si>
    <t>Loan</t>
  </si>
  <si>
    <t>Payment</t>
  </si>
  <si>
    <t>Assume the following ex post outcomes with respect to XYZ Company's books:</t>
  </si>
  <si>
    <t xml:space="preserve">Assume that the FX hedge is perfectly effective for whatever portion </t>
  </si>
  <si>
    <t>of the loan is being hedged.</t>
  </si>
  <si>
    <t>This is a summary sheet of the key journal entries and calculations.</t>
  </si>
  <si>
    <t>ABC Bank might be hedging an investment that returns quarterly cash flows</t>
  </si>
  <si>
    <t xml:space="preserve">the swap's value can be charged to Other Comprehensive Income (OCI).  However, </t>
  </si>
  <si>
    <t>be charged to current earnings (Interest Expense and Revenue) rather than OCI.</t>
  </si>
  <si>
    <t xml:space="preserve">if there is an overhedge, the overhedged proportion of changed swap value must </t>
  </si>
  <si>
    <t>Be able to reason why this is the case.</t>
  </si>
  <si>
    <t>Foreign Currency Hedge of Fixed-Rate Interest-Bearing Foreign Debt at 12% Loan Rate</t>
  </si>
  <si>
    <t>No Starting</t>
  </si>
  <si>
    <t>US$ 10.22%.  The swap dealer that negotiates the swap and guarantees payments</t>
  </si>
  <si>
    <t xml:space="preserve">takes 5 basis points (0.05%) such that the ABC receives US$ 10.22% of 10.27% owed by XYZ, and </t>
  </si>
  <si>
    <t>XYZ receives only DM 10.20% from the 10.25% owed by ABC.  Hence, XYZ owes $256,750</t>
  </si>
  <si>
    <t>ex post after the incurred DM/$ foreign exchange rates are know for certain.</t>
  </si>
  <si>
    <t>Make a table showing the extent of underhedging or overhedging each quarter</t>
  </si>
  <si>
    <t>or overhedged its FX risk with the specified swap with ABC Bank?  How much</t>
  </si>
  <si>
    <t>ABC Bank is taking on a FX risk by by agreeing to send an uncertain amount of</t>
  </si>
  <si>
    <t xml:space="preserve">German marks to XYZ Company each quarter.  Why might ABC Bank want to </t>
  </si>
  <si>
    <t>enter into such a swap?</t>
  </si>
  <si>
    <t>investment.</t>
  </si>
  <si>
    <t xml:space="preserve">ABC Bank may have better credit standing in Germany than in the U.S.  As a </t>
  </si>
  <si>
    <t>Of course ABC Bank might also be speculating that the German mark is</t>
  </si>
  <si>
    <t>going to weaken against the dollar.  It is more likely, however, that ABC</t>
  </si>
  <si>
    <t>Bank has one of the other reasons mentioned above.</t>
  </si>
  <si>
    <t xml:space="preserve">result of the swap, ABC Bank may have obtained its best possible </t>
  </si>
  <si>
    <t>loan in U.S. dollars.</t>
  </si>
  <si>
    <t>If XYZ Company swaps with ABC Bank, is this a cross-currency hedge for XYZ Company?</t>
  </si>
  <si>
    <t>Of course, if the German mark had weakened, XYZ Company would have</t>
  </si>
  <si>
    <t xml:space="preserve">lost on the swap.  </t>
  </si>
  <si>
    <t>Change in RE =</t>
  </si>
  <si>
    <t>Swap loss (gain) =</t>
  </si>
  <si>
    <t>Interest on note =</t>
  </si>
  <si>
    <t>Change in</t>
  </si>
  <si>
    <t>Retained</t>
  </si>
  <si>
    <t xml:space="preserve">The hedged interest expense is not constant each quarter, because not all of the 12.00% </t>
  </si>
  <si>
    <r>
      <t xml:space="preserve">note rate of interest in </t>
    </r>
    <r>
      <rPr>
        <b/>
        <sz val="10"/>
        <color indexed="12"/>
        <rFont val="Arial"/>
        <family val="2"/>
      </rPr>
      <t>Cell G68</t>
    </r>
    <r>
      <rPr>
        <b/>
        <sz val="10"/>
        <color indexed="10"/>
        <rFont val="Arial"/>
        <family val="2"/>
      </rPr>
      <t>.</t>
    </r>
  </si>
  <si>
    <t>Saved by</t>
  </si>
  <si>
    <t>The amount of underhedging is DM90,000 = DM600,000-DM510,000.  This translates</t>
  </si>
  <si>
    <t>With a</t>
  </si>
  <si>
    <t>Swap Rec. Leg</t>
  </si>
  <si>
    <t xml:space="preserve">                           You can change XYZ's original unhedged note rate to R in Cell G68 = </t>
  </si>
  <si>
    <t>Case Hedge</t>
  </si>
  <si>
    <t>Swap Hedge</t>
  </si>
  <si>
    <t>Rec. Leg</t>
  </si>
  <si>
    <t>Fixed Rate</t>
  </si>
  <si>
    <t>of</t>
  </si>
  <si>
    <t>Versus</t>
  </si>
  <si>
    <t>Overhedging</t>
  </si>
  <si>
    <t>generated another $19,142 to fully hedge all DM600,000 per quarter.</t>
  </si>
  <si>
    <t>the swap balance (value) at the end of the previous period by 2.55% = 10.2%/4.</t>
  </si>
  <si>
    <t xml:space="preserve">fixed-interest rate is 12.00% per annum or 3.00% per quarter.  David Burns, the </t>
  </si>
  <si>
    <t>Actual</t>
  </si>
  <si>
    <t>rate, however, are underhedged since the swap only returns DM510,000 to XYZ.</t>
  </si>
  <si>
    <t xml:space="preserve">That leaves DM90,000 German marks in the payment that are subject to FX </t>
  </si>
  <si>
    <t>risk.</t>
  </si>
  <si>
    <t>There are two ways to hedge all of the note interest.  Either the note interest rate</t>
  </si>
  <si>
    <t>Bob Jensen's web site is at http://www.trinity.edu/rjensen</t>
  </si>
  <si>
    <t>Computations and Journal Entries</t>
  </si>
  <si>
    <t>leaves XYZ DM90,000 short of a matched hedge needed for DM600,000 payments</t>
  </si>
  <si>
    <t>was lost or gained by not having a matched hedge (assuming no added speculation)?</t>
  </si>
  <si>
    <t>(Note that just because the hedge is not matched, does not make it ineffective under FAS 133 definitions of ineffectiveness.)</t>
  </si>
  <si>
    <t>the hedge saved XYZ Company $15,140.  A matched swap would have</t>
  </si>
  <si>
    <t>Matched Hedge</t>
  </si>
  <si>
    <t>Matched Swap</t>
  </si>
  <si>
    <t>Deviation of  the actual hedge from matched hedge =</t>
  </si>
  <si>
    <t>Matched hedge outcome =</t>
  </si>
  <si>
    <t>Matched</t>
  </si>
  <si>
    <t>One of the purposes of this case is to analyze underhedging versus overhedging of swaps</t>
  </si>
  <si>
    <t>that are not perfect matches for hedging.  This case is does not have a matched hedge,</t>
  </si>
  <si>
    <t xml:space="preserve">because the 8% hedged item note rate is not equal to the 10.2% swap receivable leg of </t>
  </si>
  <si>
    <t>the hedging swap.  To be a matched hedge, both interest rates would have to be equal.</t>
  </si>
  <si>
    <t>into a$19,142 opportunity loss from not having a matched hedge of $34,282.</t>
  </si>
  <si>
    <t>Since this is not a matched hedge of each DM600,000 interest payment, what</t>
  </si>
  <si>
    <t>the hedged item is underhedged by 0.1020-0.1200 = -0.0180 or -1.80%.</t>
  </si>
  <si>
    <t xml:space="preserve">When the hedged item is underhedged, some FX risk remains, because not all of the </t>
  </si>
  <si>
    <t>hedged item is protected from fluctuations in foreign currency rates.  When the hedged</t>
  </si>
  <si>
    <t>item is overhedged, then there is also foreign exchange risk of receiving too many</t>
  </si>
  <si>
    <t>German marks relative to the note's interest rate.  Under FAS 133, all changes in the</t>
  </si>
  <si>
    <t>swap value can be charged to Other Comprehensive Income (OCI) only if there is no</t>
  </si>
  <si>
    <t>overhedging.  If there is overhedging the proportion of the changes in value of the swap</t>
  </si>
  <si>
    <t xml:space="preserve">must be charged to current earnings rather than OCI.  When u&gt;0, that proportion </t>
  </si>
  <si>
    <t xml:space="preserve"> the CFO of XYZ,  worries that the the German mark will grow stronger against the U.S. dollar,</t>
  </si>
  <si>
    <t>net settled using the spot currency exchange rate at the end of each quarter.</t>
  </si>
  <si>
    <t xml:space="preserve">Hint:  If the loan interest payments are underhedged, assume all the change in </t>
  </si>
  <si>
    <t>(as opposed to a portfolio of items) can be hedged in part rather than in whole.</t>
  </si>
  <si>
    <t>case at hand in which the swap and the original note have the same maturity</t>
  </si>
  <si>
    <t>Sensitivity Analysis:  You can change the value in blue Cell G68 from the original 8.00%:</t>
  </si>
  <si>
    <t>Interest Expense</t>
  </si>
  <si>
    <t>Under or</t>
  </si>
  <si>
    <t>Received</t>
  </si>
  <si>
    <t>(Over)</t>
  </si>
  <si>
    <t>if the hedged note rate =</t>
  </si>
  <si>
    <t>instead of</t>
  </si>
  <si>
    <t>Swap Value Calculations</t>
  </si>
  <si>
    <t>Suppose we define the swap receivable rate as (R+U), where R is the rate of the hedged</t>
  </si>
  <si>
    <t>item and U is the underhedged or overhedged rate.  For example, when (R+U)=.1020, then</t>
  </si>
  <si>
    <t>is U/(R+U).</t>
  </si>
  <si>
    <t xml:space="preserve">a note rate of R=0.1020 implies that this is a "matched hedge" with U=0.  However, if R=0.0800, </t>
  </si>
  <si>
    <t>there is an overhedging of U=0.022 or 2.20%.  Conversely, if R=0.1200, there the hedged item</t>
  </si>
  <si>
    <t>On July 1, 20X0, XYZ Company has an obligation to make eight remaining interest payments</t>
  </si>
  <si>
    <t xml:space="preserve">On July 1, 20X0, ABC Bank enters into a two-year pay-fixed German DM 10.25%, receive-fixed </t>
  </si>
  <si>
    <t>Record the DM 20 million loan as if it commenced on July 1, 20X0, and then</t>
  </si>
  <si>
    <t xml:space="preserve">Note:  The key parameter to vary for alternate solutions is in Cell G68 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</si>
</sst>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.0"/>
    <numFmt numFmtId="172" formatCode="_(* #,##0.000_);_(* \(#,##0.000\);_(* &quot;-&quot;??_);_(@_)"/>
    <numFmt numFmtId="173" formatCode="_(* #,##0.0000_);_(* \(#,##0.0000\);_(* &quot;-&quot;??_);_(@_)"/>
    <numFmt numFmtId="174" formatCode="&quot;$&quot;#,##0"/>
    <numFmt numFmtId="175" formatCode="0.000%"/>
    <numFmt numFmtId="176" formatCode="0.0000%"/>
    <numFmt numFmtId="177" formatCode="0_);\(0\)"/>
    <numFmt numFmtId="178" formatCode="0_);[Red]\(0\)"/>
    <numFmt numFmtId="179" formatCode="&quot;$&quot;#,##0.0_);[Red]\(&quot;$&quot;#,##0.0\)"/>
    <numFmt numFmtId="180" formatCode="0.000000_);\(0.000000\)"/>
    <numFmt numFmtId="181" formatCode="0.00000"/>
    <numFmt numFmtId="182" formatCode="0.00000%"/>
    <numFmt numFmtId="183" formatCode="0.000000%"/>
    <numFmt numFmtId="184" formatCode="0.00000000"/>
    <numFmt numFmtId="185" formatCode="0.0000000"/>
    <numFmt numFmtId="186" formatCode="0.000000"/>
    <numFmt numFmtId="187" formatCode="0.00_);\(0.00\)"/>
    <numFmt numFmtId="188" formatCode="0.0_);\(0.0\)"/>
    <numFmt numFmtId="189" formatCode="&quot;$&quot;#,##0.000_);[Red]\(&quot;$&quot;#,##0.000\)"/>
    <numFmt numFmtId="190" formatCode="&quot;$&quot;#,##0.0000_);[Red]\(&quot;$&quot;#,##0.0000\)"/>
    <numFmt numFmtId="191" formatCode="mmmm\ d\,\ yyyy"/>
    <numFmt numFmtId="192" formatCode="mm/dd/yy"/>
    <numFmt numFmtId="193" formatCode="&quot;$&quot;#,##0.0"/>
    <numFmt numFmtId="194" formatCode="&quot;$&quot;#,##0.00"/>
    <numFmt numFmtId="195" formatCode="&quot;$&quot;#,##0.0_);\(&quot;$&quot;#,##0.0\)"/>
    <numFmt numFmtId="196" formatCode="&quot;$&quot;#,##0.000_);\(&quot;$&quot;#,##0.000\)"/>
    <numFmt numFmtId="197" formatCode="&quot;$&quot;#,##0.0000_);\(&quot;$&quot;#,##0.0000\)"/>
    <numFmt numFmtId="198" formatCode="mmm\-yyyy"/>
    <numFmt numFmtId="199" formatCode="#,##0.0000"/>
    <numFmt numFmtId="200" formatCode="#,##0.000000000000000"/>
    <numFmt numFmtId="201" formatCode="#,##0.000"/>
    <numFmt numFmtId="202" formatCode="#,##0.000000_);[Red]\(#,##0.000000\)"/>
    <numFmt numFmtId="203" formatCode="&quot;$&quot;#,##0.000000_);[Red]\(&quot;$&quot;#,##0.000000\)"/>
    <numFmt numFmtId="204" formatCode="_(&quot;$&quot;* #,##0.000_);_(&quot;$&quot;* \(#,##0.000\);_(&quot;$&quot;* &quot;-&quot;??_);_(@_)"/>
    <numFmt numFmtId="205" formatCode="0.00000000000000%"/>
    <numFmt numFmtId="206" formatCode="0.0000000000000%"/>
    <numFmt numFmtId="207" formatCode="0.000000000000%"/>
    <numFmt numFmtId="208" formatCode="0.00000000000%"/>
    <numFmt numFmtId="209" formatCode="0.000_);\(0.000\)"/>
    <numFmt numFmtId="210" formatCode="0.0000_);\(0.0000\)"/>
    <numFmt numFmtId="211" formatCode="0.00000_);\(0.00000\)"/>
    <numFmt numFmtId="212" formatCode="_(* #,##0.000000_);_(* \(#,##0.000000\);_(* &quot;-&quot;??_);_(@_)"/>
    <numFmt numFmtId="213" formatCode="&quot;$&quot;#,##0;[Red]&quot;$&quot;#,##0"/>
    <numFmt numFmtId="214" formatCode="&quot;$&quot;#,##0.0000;[Red]&quot;$&quot;#,##0.0000"/>
    <numFmt numFmtId="215" formatCode="#,##0;[Red]#,##0"/>
    <numFmt numFmtId="216" formatCode="&quot;$&quot;#,##0.0000"/>
    <numFmt numFmtId="217" formatCode="_(* #,##0.0000_);_(* \(#,##0.0000\);_(* &quot;-&quot;????_);_(@_)"/>
    <numFmt numFmtId="218" formatCode="0.0000_);[Red]\(0.0000\)"/>
    <numFmt numFmtId="219" formatCode="m/d/yyyy"/>
  </numFmts>
  <fonts count="32">
    <font>
      <sz val="10"/>
      <name val="Times New Roman"/>
      <family val="0"/>
    </font>
    <font>
      <b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Times New Roman"/>
      <family val="0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5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14"/>
      <color indexed="12"/>
      <name val="Times New Roman"/>
      <family val="1"/>
    </font>
    <font>
      <b/>
      <sz val="8"/>
      <name val="Times New Roman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66" fontId="0" fillId="0" borderId="0" xfId="17" applyNumberFormat="1" applyAlignment="1">
      <alignment/>
    </xf>
    <xf numFmtId="168" fontId="0" fillId="0" borderId="0" xfId="15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168" fontId="2" fillId="0" borderId="0" xfId="15" applyNumberFormat="1" applyFont="1" applyAlignment="1">
      <alignment/>
    </xf>
    <xf numFmtId="177" fontId="12" fillId="0" borderId="0" xfId="0" applyNumberFormat="1" applyFont="1" applyAlignment="1">
      <alignment/>
    </xf>
    <xf numFmtId="180" fontId="13" fillId="0" borderId="0" xfId="21" applyNumberFormat="1" applyFont="1">
      <alignment/>
      <protection/>
    </xf>
    <xf numFmtId="0" fontId="14" fillId="0" borderId="0" xfId="21" applyFont="1" applyAlignment="1">
      <alignment horizontal="left"/>
      <protection/>
    </xf>
    <xf numFmtId="177" fontId="5" fillId="0" borderId="0" xfId="21" applyNumberFormat="1" applyFont="1" applyAlignment="1">
      <alignment horizontal="right"/>
      <protection/>
    </xf>
    <xf numFmtId="0" fontId="5" fillId="0" borderId="0" xfId="21" applyFont="1">
      <alignment/>
      <protection/>
    </xf>
    <xf numFmtId="5" fontId="5" fillId="0" borderId="0" xfId="21" applyNumberFormat="1" applyFont="1" applyAlignment="1">
      <alignment horizontal="center"/>
      <protection/>
    </xf>
    <xf numFmtId="180" fontId="5" fillId="0" borderId="1" xfId="21" applyNumberFormat="1" applyFont="1" applyBorder="1" applyAlignment="1">
      <alignment horizontal="center"/>
      <protection/>
    </xf>
    <xf numFmtId="177" fontId="5" fillId="0" borderId="1" xfId="21" applyNumberFormat="1" applyFont="1" applyBorder="1" applyAlignment="1">
      <alignment horizontal="center"/>
      <protection/>
    </xf>
    <xf numFmtId="180" fontId="5" fillId="0" borderId="1" xfId="21" applyNumberFormat="1" applyFont="1" applyFill="1" applyBorder="1" applyAlignment="1">
      <alignment horizontal="center"/>
      <protection/>
    </xf>
    <xf numFmtId="180" fontId="5" fillId="0" borderId="2" xfId="21" applyNumberFormat="1" applyFont="1" applyBorder="1" applyAlignment="1">
      <alignment horizontal="center"/>
      <protection/>
    </xf>
    <xf numFmtId="177" fontId="5" fillId="0" borderId="2" xfId="21" applyNumberFormat="1" applyFont="1" applyBorder="1" applyAlignment="1">
      <alignment horizontal="center"/>
      <protection/>
    </xf>
    <xf numFmtId="180" fontId="5" fillId="0" borderId="2" xfId="21" applyNumberFormat="1" applyFont="1" applyFill="1" applyBorder="1" applyAlignment="1">
      <alignment horizontal="center"/>
      <protection/>
    </xf>
    <xf numFmtId="177" fontId="5" fillId="0" borderId="3" xfId="21" applyNumberFormat="1" applyFont="1" applyBorder="1" applyAlignment="1">
      <alignment horizontal="center"/>
      <protection/>
    </xf>
    <xf numFmtId="180" fontId="5" fillId="0" borderId="3" xfId="21" applyNumberFormat="1" applyFont="1" applyBorder="1" applyAlignment="1">
      <alignment horizontal="center"/>
      <protection/>
    </xf>
    <xf numFmtId="176" fontId="5" fillId="0" borderId="3" xfId="21" applyNumberFormat="1" applyFont="1" applyBorder="1" applyAlignment="1">
      <alignment horizontal="center"/>
      <protection/>
    </xf>
    <xf numFmtId="180" fontId="5" fillId="0" borderId="3" xfId="21" applyNumberFormat="1" applyFont="1" applyFill="1" applyBorder="1" applyAlignment="1">
      <alignment horizontal="center"/>
      <protection/>
    </xf>
    <xf numFmtId="177" fontId="6" fillId="2" borderId="2" xfId="21" applyNumberFormat="1" applyFont="1" applyFill="1" applyBorder="1" applyAlignment="1">
      <alignment horizontal="center"/>
      <protection/>
    </xf>
    <xf numFmtId="177" fontId="6" fillId="3" borderId="2" xfId="21" applyNumberFormat="1" applyFont="1" applyFill="1" applyBorder="1" applyAlignment="1">
      <alignment horizontal="center"/>
      <protection/>
    </xf>
    <xf numFmtId="177" fontId="6" fillId="4" borderId="2" xfId="21" applyNumberFormat="1" applyFont="1" applyFill="1" applyBorder="1" applyAlignment="1">
      <alignment horizontal="center"/>
      <protection/>
    </xf>
    <xf numFmtId="177" fontId="6" fillId="5" borderId="2" xfId="21" applyNumberFormat="1" applyFont="1" applyFill="1" applyBorder="1" applyAlignment="1">
      <alignment horizontal="center"/>
      <protection/>
    </xf>
    <xf numFmtId="177" fontId="6" fillId="6" borderId="2" xfId="21" applyNumberFormat="1" applyFont="1" applyFill="1" applyBorder="1" applyAlignment="1">
      <alignment horizontal="center"/>
      <protection/>
    </xf>
    <xf numFmtId="177" fontId="6" fillId="7" borderId="2" xfId="21" applyNumberFormat="1" applyFont="1" applyFill="1" applyBorder="1" applyAlignment="1">
      <alignment horizontal="center"/>
      <protection/>
    </xf>
    <xf numFmtId="177" fontId="6" fillId="8" borderId="2" xfId="21" applyNumberFormat="1" applyFont="1" applyFill="1" applyBorder="1" applyAlignment="1">
      <alignment horizontal="center"/>
      <protection/>
    </xf>
    <xf numFmtId="177" fontId="6" fillId="2" borderId="3" xfId="21" applyNumberFormat="1" applyFont="1" applyFill="1" applyBorder="1" applyAlignment="1">
      <alignment horizontal="center"/>
      <protection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6" fontId="5" fillId="0" borderId="0" xfId="0" applyNumberFormat="1" applyFont="1" applyAlignment="1">
      <alignment/>
    </xf>
    <xf numFmtId="0" fontId="6" fillId="0" borderId="0" xfId="0" applyFont="1" applyAlignment="1">
      <alignment/>
    </xf>
    <xf numFmtId="202" fontId="6" fillId="0" borderId="0" xfId="0" applyNumberFormat="1" applyFont="1" applyAlignment="1">
      <alignment horizontal="center"/>
    </xf>
    <xf numFmtId="202" fontId="1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9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5" fontId="5" fillId="0" borderId="0" xfId="0" applyNumberFormat="1" applyFont="1" applyAlignment="1">
      <alignment horizontal="center"/>
    </xf>
    <xf numFmtId="14" fontId="6" fillId="2" borderId="0" xfId="0" applyNumberFormat="1" applyFont="1" applyFill="1" applyAlignment="1">
      <alignment horizontal="center"/>
    </xf>
    <xf numFmtId="38" fontId="5" fillId="0" borderId="1" xfId="0" applyNumberFormat="1" applyFont="1" applyBorder="1" applyAlignment="1">
      <alignment horizontal="center"/>
    </xf>
    <xf numFmtId="38" fontId="5" fillId="0" borderId="2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38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5" fontId="5" fillId="0" borderId="0" xfId="0" applyNumberFormat="1" applyFont="1" applyBorder="1" applyAlignment="1">
      <alignment horizontal="center"/>
    </xf>
    <xf numFmtId="0" fontId="5" fillId="1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5" fontId="5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4" fontId="6" fillId="3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 quotePrefix="1">
      <alignment/>
    </xf>
    <xf numFmtId="14" fontId="6" fillId="8" borderId="0" xfId="0" applyNumberFormat="1" applyFont="1" applyFill="1" applyAlignment="1">
      <alignment horizontal="center"/>
    </xf>
    <xf numFmtId="14" fontId="6" fillId="5" borderId="0" xfId="0" applyNumberFormat="1" applyFont="1" applyFill="1" applyAlignment="1">
      <alignment horizontal="center"/>
    </xf>
    <xf numFmtId="14" fontId="6" fillId="6" borderId="0" xfId="0" applyNumberFormat="1" applyFont="1" applyFill="1" applyAlignment="1">
      <alignment horizontal="center"/>
    </xf>
    <xf numFmtId="38" fontId="5" fillId="0" borderId="0" xfId="0" applyNumberFormat="1" applyFont="1" applyBorder="1" applyAlignment="1">
      <alignment horizontal="center"/>
    </xf>
    <xf numFmtId="14" fontId="6" fillId="7" borderId="0" xfId="0" applyNumberFormat="1" applyFont="1" applyFill="1" applyAlignment="1">
      <alignment horizontal="center"/>
    </xf>
    <xf numFmtId="5" fontId="5" fillId="0" borderId="0" xfId="0" applyNumberFormat="1" applyFont="1" applyAlignment="1">
      <alignment/>
    </xf>
    <xf numFmtId="0" fontId="0" fillId="8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 quotePrefix="1">
      <alignment/>
    </xf>
    <xf numFmtId="0" fontId="0" fillId="3" borderId="0" xfId="0" applyFill="1" applyAlignment="1">
      <alignment/>
    </xf>
    <xf numFmtId="180" fontId="5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5" fillId="0" borderId="6" xfId="21" applyNumberFormat="1" applyFont="1" applyFill="1" applyBorder="1" applyAlignment="1">
      <alignment horizontal="center"/>
      <protection/>
    </xf>
    <xf numFmtId="192" fontId="6" fillId="3" borderId="1" xfId="21" applyNumberFormat="1" applyFont="1" applyFill="1" applyBorder="1" applyAlignment="1">
      <alignment horizontal="center"/>
      <protection/>
    </xf>
    <xf numFmtId="192" fontId="6" fillId="4" borderId="2" xfId="21" applyNumberFormat="1" applyFont="1" applyFill="1" applyBorder="1" applyAlignment="1">
      <alignment horizontal="center"/>
      <protection/>
    </xf>
    <xf numFmtId="192" fontId="6" fillId="5" borderId="2" xfId="21" applyNumberFormat="1" applyFont="1" applyFill="1" applyBorder="1" applyAlignment="1">
      <alignment horizontal="center"/>
      <protection/>
    </xf>
    <xf numFmtId="192" fontId="6" fillId="6" borderId="2" xfId="21" applyNumberFormat="1" applyFont="1" applyFill="1" applyBorder="1" applyAlignment="1">
      <alignment horizontal="center"/>
      <protection/>
    </xf>
    <xf numFmtId="192" fontId="6" fillId="7" borderId="2" xfId="21" applyNumberFormat="1" applyFont="1" applyFill="1" applyBorder="1" applyAlignment="1">
      <alignment horizontal="center"/>
      <protection/>
    </xf>
    <xf numFmtId="192" fontId="6" fillId="8" borderId="2" xfId="21" applyNumberFormat="1" applyFont="1" applyFill="1" applyBorder="1" applyAlignment="1">
      <alignment horizontal="center"/>
      <protection/>
    </xf>
    <xf numFmtId="192" fontId="6" fillId="3" borderId="2" xfId="21" applyNumberFormat="1" applyFont="1" applyFill="1" applyBorder="1" applyAlignment="1">
      <alignment horizontal="center"/>
      <protection/>
    </xf>
    <xf numFmtId="192" fontId="6" fillId="2" borderId="3" xfId="21" applyNumberFormat="1" applyFont="1" applyFill="1" applyBorder="1" applyAlignment="1">
      <alignment horizontal="center"/>
      <protection/>
    </xf>
    <xf numFmtId="192" fontId="6" fillId="2" borderId="2" xfId="21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180" fontId="6" fillId="0" borderId="0" xfId="21" applyNumberFormat="1" applyFont="1">
      <alignment/>
      <protection/>
    </xf>
    <xf numFmtId="177" fontId="6" fillId="0" borderId="0" xfId="21" applyNumberFormat="1" applyFont="1">
      <alignment/>
      <protection/>
    </xf>
    <xf numFmtId="0" fontId="6" fillId="0" borderId="0" xfId="21" applyFont="1">
      <alignment/>
      <protection/>
    </xf>
    <xf numFmtId="177" fontId="6" fillId="0" borderId="1" xfId="21" applyNumberFormat="1" applyFont="1" applyBorder="1">
      <alignment/>
      <protection/>
    </xf>
    <xf numFmtId="177" fontId="6" fillId="0" borderId="2" xfId="21" applyNumberFormat="1" applyFont="1" applyBorder="1">
      <alignment/>
      <protection/>
    </xf>
    <xf numFmtId="6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6" fontId="6" fillId="0" borderId="0" xfId="0" applyNumberFormat="1" applyFont="1" applyAlignment="1">
      <alignment horizontal="center"/>
    </xf>
    <xf numFmtId="0" fontId="6" fillId="11" borderId="0" xfId="0" applyFont="1" applyFill="1" applyAlignment="1">
      <alignment/>
    </xf>
    <xf numFmtId="0" fontId="6" fillId="10" borderId="0" xfId="0" applyFont="1" applyFill="1" applyAlignment="1">
      <alignment/>
    </xf>
    <xf numFmtId="0" fontId="6" fillId="10" borderId="0" xfId="0" applyFont="1" applyFill="1" applyAlignment="1" quotePrefix="1">
      <alignment/>
    </xf>
    <xf numFmtId="0" fontId="6" fillId="3" borderId="4" xfId="0" applyFont="1" applyFill="1" applyBorder="1" applyAlignment="1">
      <alignment/>
    </xf>
    <xf numFmtId="17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5" fontId="6" fillId="0" borderId="0" xfId="0" applyNumberFormat="1" applyFont="1" applyBorder="1" applyAlignment="1">
      <alignment horizontal="center"/>
    </xf>
    <xf numFmtId="0" fontId="6" fillId="8" borderId="4" xfId="0" applyFont="1" applyFill="1" applyBorder="1" applyAlignment="1">
      <alignment/>
    </xf>
    <xf numFmtId="0" fontId="6" fillId="5" borderId="4" xfId="0" applyFont="1" applyFill="1" applyBorder="1" applyAlignment="1">
      <alignment/>
    </xf>
    <xf numFmtId="0" fontId="6" fillId="6" borderId="4" xfId="0" applyFont="1" applyFill="1" applyBorder="1" applyAlignment="1">
      <alignment/>
    </xf>
    <xf numFmtId="0" fontId="6" fillId="7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177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78" fontId="5" fillId="0" borderId="0" xfId="0" applyNumberFormat="1" applyFont="1" applyAlignment="1">
      <alignment horizontal="right"/>
    </xf>
    <xf numFmtId="177" fontId="5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6" fillId="3" borderId="0" xfId="0" applyFont="1" applyFill="1" applyAlignment="1" quotePrefix="1">
      <alignment/>
    </xf>
    <xf numFmtId="0" fontId="5" fillId="3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80" fontId="6" fillId="3" borderId="0" xfId="0" applyNumberFormat="1" applyFont="1" applyFill="1" applyAlignment="1" quotePrefix="1">
      <alignment/>
    </xf>
    <xf numFmtId="0" fontId="11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19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75" fontId="0" fillId="0" borderId="0" xfId="22" applyNumberFormat="1" applyAlignment="1">
      <alignment/>
    </xf>
    <xf numFmtId="43" fontId="0" fillId="0" borderId="0" xfId="15" applyAlignment="1">
      <alignment/>
    </xf>
    <xf numFmtId="169" fontId="0" fillId="0" borderId="0" xfId="0" applyNumberFormat="1" applyAlignment="1">
      <alignment/>
    </xf>
    <xf numFmtId="43" fontId="0" fillId="0" borderId="0" xfId="0" applyNumberFormat="1" applyAlignment="1">
      <alignment/>
    </xf>
    <xf numFmtId="192" fontId="0" fillId="0" borderId="0" xfId="0" applyNumberFormat="1" applyAlignment="1">
      <alignment/>
    </xf>
    <xf numFmtId="175" fontId="0" fillId="0" borderId="7" xfId="22" applyNumberFormat="1" applyBorder="1" applyAlignment="1">
      <alignment/>
    </xf>
    <xf numFmtId="43" fontId="0" fillId="0" borderId="7" xfId="0" applyNumberFormat="1" applyBorder="1" applyAlignment="1">
      <alignment/>
    </xf>
    <xf numFmtId="169" fontId="0" fillId="0" borderId="7" xfId="0" applyNumberFormat="1" applyBorder="1" applyAlignment="1">
      <alignment/>
    </xf>
    <xf numFmtId="17" fontId="0" fillId="0" borderId="0" xfId="0" applyNumberFormat="1" applyAlignment="1">
      <alignment/>
    </xf>
    <xf numFmtId="10" fontId="0" fillId="0" borderId="0" xfId="22" applyNumberFormat="1" applyFont="1" applyAlignment="1">
      <alignment/>
    </xf>
    <xf numFmtId="186" fontId="0" fillId="0" borderId="0" xfId="0" applyNumberFormat="1" applyAlignment="1">
      <alignment/>
    </xf>
    <xf numFmtId="192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92" fontId="6" fillId="2" borderId="1" xfId="21" applyNumberFormat="1" applyFont="1" applyFill="1" applyBorder="1" applyAlignment="1">
      <alignment horizontal="center"/>
      <protection/>
    </xf>
    <xf numFmtId="192" fontId="6" fillId="12" borderId="2" xfId="21" applyNumberFormat="1" applyFont="1" applyFill="1" applyBorder="1" applyAlignment="1">
      <alignment horizontal="center"/>
      <protection/>
    </xf>
    <xf numFmtId="10" fontId="0" fillId="3" borderId="0" xfId="22" applyNumberFormat="1" applyFill="1" applyAlignment="1">
      <alignment/>
    </xf>
    <xf numFmtId="10" fontId="0" fillId="5" borderId="0" xfId="22" applyNumberFormat="1" applyFill="1" applyAlignment="1">
      <alignment/>
    </xf>
    <xf numFmtId="10" fontId="0" fillId="6" borderId="0" xfId="22" applyNumberFormat="1" applyFill="1" applyAlignment="1">
      <alignment/>
    </xf>
    <xf numFmtId="10" fontId="0" fillId="7" borderId="0" xfId="22" applyNumberFormat="1" applyFill="1" applyAlignment="1">
      <alignment/>
    </xf>
    <xf numFmtId="10" fontId="0" fillId="8" borderId="0" xfId="22" applyNumberFormat="1" applyFill="1" applyAlignment="1">
      <alignment/>
    </xf>
    <xf numFmtId="10" fontId="0" fillId="4" borderId="0" xfId="22" applyNumberFormat="1" applyFill="1" applyAlignment="1">
      <alignment/>
    </xf>
    <xf numFmtId="0" fontId="14" fillId="9" borderId="0" xfId="0" applyFont="1" applyFill="1" applyAlignment="1">
      <alignment horizontal="center"/>
    </xf>
    <xf numFmtId="166" fontId="0" fillId="0" borderId="0" xfId="0" applyNumberFormat="1" applyAlignment="1">
      <alignment/>
    </xf>
    <xf numFmtId="173" fontId="0" fillId="0" borderId="0" xfId="15" applyNumberFormat="1" applyAlignment="1">
      <alignment/>
    </xf>
    <xf numFmtId="192" fontId="0" fillId="0" borderId="7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7" xfId="17" applyNumberFormat="1" applyBorder="1" applyAlignment="1">
      <alignment/>
    </xf>
    <xf numFmtId="186" fontId="0" fillId="0" borderId="7" xfId="0" applyNumberFormat="1" applyBorder="1" applyAlignment="1">
      <alignment/>
    </xf>
    <xf numFmtId="17" fontId="0" fillId="0" borderId="0" xfId="0" applyNumberFormat="1" applyAlignment="1">
      <alignment horizontal="center"/>
    </xf>
    <xf numFmtId="212" fontId="0" fillId="0" borderId="0" xfId="15" applyNumberFormat="1" applyFont="1" applyAlignment="1">
      <alignment/>
    </xf>
    <xf numFmtId="166" fontId="0" fillId="4" borderId="0" xfId="17" applyNumberFormat="1" applyFill="1" applyAlignment="1">
      <alignment/>
    </xf>
    <xf numFmtId="166" fontId="1" fillId="4" borderId="8" xfId="17" applyNumberFormat="1" applyFont="1" applyFill="1" applyBorder="1" applyAlignment="1">
      <alignment/>
    </xf>
    <xf numFmtId="166" fontId="0" fillId="3" borderId="0" xfId="17" applyNumberFormat="1" applyFill="1" applyAlignment="1">
      <alignment/>
    </xf>
    <xf numFmtId="166" fontId="1" fillId="3" borderId="8" xfId="17" applyNumberFormat="1" applyFont="1" applyFill="1" applyBorder="1" applyAlignment="1">
      <alignment/>
    </xf>
    <xf numFmtId="0" fontId="0" fillId="4" borderId="0" xfId="0" applyFill="1" applyBorder="1" applyAlignment="1">
      <alignment horizontal="center"/>
    </xf>
    <xf numFmtId="192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0" fontId="0" fillId="2" borderId="0" xfId="22" applyNumberFormat="1" applyFill="1" applyAlignment="1">
      <alignment/>
    </xf>
    <xf numFmtId="166" fontId="0" fillId="2" borderId="0" xfId="17" applyNumberFormat="1" applyFill="1" applyAlignment="1">
      <alignment/>
    </xf>
    <xf numFmtId="166" fontId="1" fillId="2" borderId="8" xfId="17" applyNumberFormat="1" applyFont="1" applyFill="1" applyBorder="1" applyAlignment="1">
      <alignment/>
    </xf>
    <xf numFmtId="192" fontId="0" fillId="5" borderId="0" xfId="0" applyNumberFormat="1" applyFill="1" applyAlignment="1">
      <alignment/>
    </xf>
    <xf numFmtId="166" fontId="0" fillId="5" borderId="0" xfId="17" applyNumberFormat="1" applyFill="1" applyAlignment="1">
      <alignment/>
    </xf>
    <xf numFmtId="166" fontId="1" fillId="5" borderId="8" xfId="17" applyNumberFormat="1" applyFont="1" applyFill="1" applyBorder="1" applyAlignment="1">
      <alignment/>
    </xf>
    <xf numFmtId="192" fontId="0" fillId="6" borderId="0" xfId="0" applyNumberFormat="1" applyFill="1" applyAlignment="1">
      <alignment/>
    </xf>
    <xf numFmtId="166" fontId="0" fillId="6" borderId="0" xfId="17" applyNumberFormat="1" applyFill="1" applyAlignment="1">
      <alignment/>
    </xf>
    <xf numFmtId="166" fontId="1" fillId="6" borderId="8" xfId="17" applyNumberFormat="1" applyFont="1" applyFill="1" applyBorder="1" applyAlignment="1">
      <alignment/>
    </xf>
    <xf numFmtId="192" fontId="0" fillId="7" borderId="0" xfId="0" applyNumberFormat="1" applyFill="1" applyAlignment="1">
      <alignment/>
    </xf>
    <xf numFmtId="166" fontId="0" fillId="7" borderId="0" xfId="17" applyNumberFormat="1" applyFill="1" applyAlignment="1">
      <alignment/>
    </xf>
    <xf numFmtId="166" fontId="1" fillId="7" borderId="8" xfId="17" applyNumberFormat="1" applyFont="1" applyFill="1" applyBorder="1" applyAlignment="1">
      <alignment/>
    </xf>
    <xf numFmtId="192" fontId="0" fillId="8" borderId="0" xfId="0" applyNumberFormat="1" applyFill="1" applyAlignment="1">
      <alignment/>
    </xf>
    <xf numFmtId="166" fontId="0" fillId="8" borderId="0" xfId="17" applyNumberFormat="1" applyFill="1" applyAlignment="1">
      <alignment/>
    </xf>
    <xf numFmtId="166" fontId="1" fillId="8" borderId="8" xfId="17" applyNumberFormat="1" applyFont="1" applyFill="1" applyBorder="1" applyAlignment="1">
      <alignment/>
    </xf>
    <xf numFmtId="192" fontId="0" fillId="3" borderId="0" xfId="0" applyNumberFormat="1" applyFill="1" applyAlignment="1">
      <alignment/>
    </xf>
    <xf numFmtId="192" fontId="0" fillId="3" borderId="7" xfId="0" applyNumberFormat="1" applyFill="1" applyBorder="1" applyAlignment="1">
      <alignment/>
    </xf>
    <xf numFmtId="192" fontId="0" fillId="3" borderId="0" xfId="0" applyNumberFormat="1" applyFill="1" applyAlignment="1">
      <alignment horizontal="center"/>
    </xf>
    <xf numFmtId="192" fontId="0" fillId="8" borderId="0" xfId="0" applyNumberFormat="1" applyFill="1" applyAlignment="1">
      <alignment horizontal="center"/>
    </xf>
    <xf numFmtId="192" fontId="0" fillId="7" borderId="0" xfId="0" applyNumberFormat="1" applyFill="1" applyAlignment="1">
      <alignment horizontal="center"/>
    </xf>
    <xf numFmtId="192" fontId="0" fillId="6" borderId="0" xfId="0" applyNumberFormat="1" applyFill="1" applyAlignment="1">
      <alignment horizontal="center"/>
    </xf>
    <xf numFmtId="192" fontId="0" fillId="5" borderId="0" xfId="0" applyNumberFormat="1" applyFill="1" applyAlignment="1">
      <alignment horizontal="center"/>
    </xf>
    <xf numFmtId="192" fontId="0" fillId="4" borderId="0" xfId="0" applyNumberFormat="1" applyFill="1" applyAlignment="1">
      <alignment horizontal="center"/>
    </xf>
    <xf numFmtId="192" fontId="0" fillId="2" borderId="0" xfId="0" applyNumberFormat="1" applyFill="1" applyAlignment="1">
      <alignment horizontal="center"/>
    </xf>
    <xf numFmtId="192" fontId="5" fillId="2" borderId="2" xfId="21" applyNumberFormat="1" applyFont="1" applyFill="1" applyBorder="1" applyAlignment="1">
      <alignment horizontal="center"/>
      <protection/>
    </xf>
    <xf numFmtId="10" fontId="19" fillId="0" borderId="0" xfId="22" applyNumberFormat="1" applyFont="1" applyAlignment="1">
      <alignment horizontal="center"/>
    </xf>
    <xf numFmtId="10" fontId="19" fillId="0" borderId="0" xfId="22" applyNumberFormat="1" applyFont="1" applyAlignment="1">
      <alignment/>
    </xf>
    <xf numFmtId="14" fontId="6" fillId="0" borderId="0" xfId="0" applyNumberFormat="1" applyFont="1" applyFill="1" applyAlignment="1">
      <alignment horizontal="center"/>
    </xf>
    <xf numFmtId="169" fontId="5" fillId="2" borderId="2" xfId="21" applyNumberFormat="1" applyFont="1" applyFill="1" applyBorder="1" applyAlignment="1">
      <alignment horizontal="center"/>
      <protection/>
    </xf>
    <xf numFmtId="169" fontId="5" fillId="3" borderId="2" xfId="21" applyNumberFormat="1" applyFont="1" applyFill="1" applyBorder="1" applyAlignment="1">
      <alignment horizontal="center"/>
      <protection/>
    </xf>
    <xf numFmtId="169" fontId="5" fillId="4" borderId="2" xfId="21" applyNumberFormat="1" applyFont="1" applyFill="1" applyBorder="1" applyAlignment="1">
      <alignment horizontal="center"/>
      <protection/>
    </xf>
    <xf numFmtId="169" fontId="5" fillId="5" borderId="2" xfId="21" applyNumberFormat="1" applyFont="1" applyFill="1" applyBorder="1" applyAlignment="1">
      <alignment horizontal="center"/>
      <protection/>
    </xf>
    <xf numFmtId="169" fontId="5" fillId="6" borderId="2" xfId="21" applyNumberFormat="1" applyFont="1" applyFill="1" applyBorder="1" applyAlignment="1">
      <alignment horizontal="center"/>
      <protection/>
    </xf>
    <xf numFmtId="169" fontId="5" fillId="7" borderId="2" xfId="21" applyNumberFormat="1" applyFont="1" applyFill="1" applyBorder="1" applyAlignment="1">
      <alignment horizontal="center"/>
      <protection/>
    </xf>
    <xf numFmtId="169" fontId="5" fillId="8" borderId="2" xfId="21" applyNumberFormat="1" applyFont="1" applyFill="1" applyBorder="1" applyAlignment="1">
      <alignment horizontal="center"/>
      <protection/>
    </xf>
    <xf numFmtId="169" fontId="5" fillId="2" borderId="3" xfId="21" applyNumberFormat="1" applyFont="1" applyFill="1" applyBorder="1" applyAlignment="1">
      <alignment horizontal="center"/>
      <protection/>
    </xf>
    <xf numFmtId="176" fontId="6" fillId="0" borderId="0" xfId="21" applyNumberFormat="1" applyFont="1" applyAlignment="1">
      <alignment horizontal="center"/>
      <protection/>
    </xf>
    <xf numFmtId="213" fontId="6" fillId="0" borderId="1" xfId="21" applyNumberFormat="1" applyFont="1" applyBorder="1" applyAlignment="1">
      <alignment horizontal="center"/>
      <protection/>
    </xf>
    <xf numFmtId="215" fontId="6" fillId="0" borderId="1" xfId="21" applyNumberFormat="1" applyFont="1" applyBorder="1" applyAlignment="1">
      <alignment horizontal="center"/>
      <protection/>
    </xf>
    <xf numFmtId="176" fontId="6" fillId="2" borderId="2" xfId="21" applyNumberFormat="1" applyFont="1" applyFill="1" applyBorder="1" applyAlignment="1">
      <alignment horizontal="center"/>
      <protection/>
    </xf>
    <xf numFmtId="176" fontId="6" fillId="3" borderId="2" xfId="21" applyNumberFormat="1" applyFont="1" applyFill="1" applyBorder="1" applyAlignment="1">
      <alignment horizontal="center"/>
      <protection/>
    </xf>
    <xf numFmtId="176" fontId="6" fillId="4" borderId="2" xfId="21" applyNumberFormat="1" applyFont="1" applyFill="1" applyBorder="1" applyAlignment="1">
      <alignment horizontal="center"/>
      <protection/>
    </xf>
    <xf numFmtId="176" fontId="6" fillId="5" borderId="2" xfId="21" applyNumberFormat="1" applyFont="1" applyFill="1" applyBorder="1" applyAlignment="1">
      <alignment horizontal="center"/>
      <protection/>
    </xf>
    <xf numFmtId="176" fontId="6" fillId="6" borderId="2" xfId="21" applyNumberFormat="1" applyFont="1" applyFill="1" applyBorder="1" applyAlignment="1">
      <alignment horizontal="center"/>
      <protection/>
    </xf>
    <xf numFmtId="176" fontId="6" fillId="7" borderId="2" xfId="21" applyNumberFormat="1" applyFont="1" applyFill="1" applyBorder="1" applyAlignment="1">
      <alignment horizontal="center"/>
      <protection/>
    </xf>
    <xf numFmtId="176" fontId="6" fillId="8" borderId="2" xfId="21" applyNumberFormat="1" applyFont="1" applyFill="1" applyBorder="1" applyAlignment="1">
      <alignment horizontal="center"/>
      <protection/>
    </xf>
    <xf numFmtId="176" fontId="6" fillId="2" borderId="3" xfId="21" applyNumberFormat="1" applyFont="1" applyFill="1" applyBorder="1" applyAlignment="1">
      <alignment horizontal="center"/>
      <protection/>
    </xf>
    <xf numFmtId="174" fontId="6" fillId="2" borderId="2" xfId="21" applyNumberFormat="1" applyFont="1" applyFill="1" applyBorder="1" applyAlignment="1">
      <alignment horizontal="center"/>
      <protection/>
    </xf>
    <xf numFmtId="174" fontId="6" fillId="3" borderId="2" xfId="21" applyNumberFormat="1" applyFont="1" applyFill="1" applyBorder="1" applyAlignment="1">
      <alignment horizontal="center"/>
      <protection/>
    </xf>
    <xf numFmtId="174" fontId="6" fillId="4" borderId="2" xfId="21" applyNumberFormat="1" applyFont="1" applyFill="1" applyBorder="1" applyAlignment="1">
      <alignment horizontal="center"/>
      <protection/>
    </xf>
    <xf numFmtId="174" fontId="6" fillId="5" borderId="2" xfId="21" applyNumberFormat="1" applyFont="1" applyFill="1" applyBorder="1" applyAlignment="1">
      <alignment horizontal="center"/>
      <protection/>
    </xf>
    <xf numFmtId="174" fontId="6" fillId="6" borderId="2" xfId="21" applyNumberFormat="1" applyFont="1" applyFill="1" applyBorder="1" applyAlignment="1">
      <alignment horizontal="center"/>
      <protection/>
    </xf>
    <xf numFmtId="174" fontId="6" fillId="7" borderId="2" xfId="21" applyNumberFormat="1" applyFont="1" applyFill="1" applyBorder="1" applyAlignment="1">
      <alignment horizontal="center"/>
      <protection/>
    </xf>
    <xf numFmtId="174" fontId="6" fillId="8" borderId="2" xfId="21" applyNumberFormat="1" applyFont="1" applyFill="1" applyBorder="1" applyAlignment="1">
      <alignment horizontal="center"/>
      <protection/>
    </xf>
    <xf numFmtId="174" fontId="6" fillId="2" borderId="3" xfId="21" applyNumberFormat="1" applyFont="1" applyFill="1" applyBorder="1" applyAlignment="1">
      <alignment horizontal="center"/>
      <protection/>
    </xf>
    <xf numFmtId="176" fontId="6" fillId="2" borderId="1" xfId="21" applyNumberFormat="1" applyFont="1" applyFill="1" applyBorder="1" applyAlignment="1">
      <alignment horizontal="center"/>
      <protection/>
    </xf>
    <xf numFmtId="6" fontId="6" fillId="2" borderId="2" xfId="21" applyNumberFormat="1" applyFont="1" applyFill="1" applyBorder="1" applyAlignment="1">
      <alignment horizontal="center"/>
      <protection/>
    </xf>
    <xf numFmtId="6" fontId="6" fillId="3" borderId="2" xfId="21" applyNumberFormat="1" applyFont="1" applyFill="1" applyBorder="1" applyAlignment="1">
      <alignment horizontal="center"/>
      <protection/>
    </xf>
    <xf numFmtId="6" fontId="6" fillId="4" borderId="2" xfId="21" applyNumberFormat="1" applyFont="1" applyFill="1" applyBorder="1" applyAlignment="1">
      <alignment horizontal="center"/>
      <protection/>
    </xf>
    <xf numFmtId="6" fontId="6" fillId="5" borderId="2" xfId="21" applyNumberFormat="1" applyFont="1" applyFill="1" applyBorder="1" applyAlignment="1">
      <alignment horizontal="center"/>
      <protection/>
    </xf>
    <xf numFmtId="6" fontId="6" fillId="6" borderId="2" xfId="21" applyNumberFormat="1" applyFont="1" applyFill="1" applyBorder="1" applyAlignment="1">
      <alignment horizontal="center"/>
      <protection/>
    </xf>
    <xf numFmtId="6" fontId="6" fillId="7" borderId="2" xfId="21" applyNumberFormat="1" applyFont="1" applyFill="1" applyBorder="1" applyAlignment="1">
      <alignment horizontal="center"/>
      <protection/>
    </xf>
    <xf numFmtId="6" fontId="6" fillId="8" borderId="2" xfId="21" applyNumberFormat="1" applyFont="1" applyFill="1" applyBorder="1" applyAlignment="1">
      <alignment horizontal="center"/>
      <protection/>
    </xf>
    <xf numFmtId="6" fontId="6" fillId="2" borderId="3" xfId="21" applyNumberFormat="1" applyFont="1" applyFill="1" applyBorder="1" applyAlignment="1">
      <alignment horizontal="center"/>
      <protection/>
    </xf>
    <xf numFmtId="38" fontId="6" fillId="2" borderId="1" xfId="21" applyNumberFormat="1" applyFont="1" applyFill="1" applyBorder="1" applyAlignment="1">
      <alignment horizontal="center"/>
      <protection/>
    </xf>
    <xf numFmtId="38" fontId="6" fillId="3" borderId="2" xfId="21" applyNumberFormat="1" applyFont="1" applyFill="1" applyBorder="1" applyAlignment="1">
      <alignment horizontal="center"/>
      <protection/>
    </xf>
    <xf numFmtId="38" fontId="6" fillId="4" borderId="2" xfId="21" applyNumberFormat="1" applyFont="1" applyFill="1" applyBorder="1" applyAlignment="1">
      <alignment horizontal="center"/>
      <protection/>
    </xf>
    <xf numFmtId="38" fontId="6" fillId="5" borderId="2" xfId="21" applyNumberFormat="1" applyFont="1" applyFill="1" applyBorder="1" applyAlignment="1">
      <alignment horizontal="center"/>
      <protection/>
    </xf>
    <xf numFmtId="38" fontId="6" fillId="6" borderId="2" xfId="21" applyNumberFormat="1" applyFont="1" applyFill="1" applyBorder="1" applyAlignment="1">
      <alignment horizontal="center"/>
      <protection/>
    </xf>
    <xf numFmtId="38" fontId="6" fillId="7" borderId="2" xfId="21" applyNumberFormat="1" applyFont="1" applyFill="1" applyBorder="1" applyAlignment="1">
      <alignment horizontal="center"/>
      <protection/>
    </xf>
    <xf numFmtId="38" fontId="6" fillId="8" borderId="2" xfId="21" applyNumberFormat="1" applyFont="1" applyFill="1" applyBorder="1" applyAlignment="1">
      <alignment horizontal="center"/>
      <protection/>
    </xf>
    <xf numFmtId="38" fontId="6" fillId="2" borderId="3" xfId="21" applyNumberFormat="1" applyFont="1" applyFill="1" applyBorder="1" applyAlignment="1">
      <alignment horizontal="center"/>
      <protection/>
    </xf>
    <xf numFmtId="6" fontId="5" fillId="2" borderId="2" xfId="21" applyNumberFormat="1" applyFont="1" applyFill="1" applyBorder="1" applyAlignment="1">
      <alignment horizontal="center"/>
      <protection/>
    </xf>
    <xf numFmtId="6" fontId="5" fillId="3" borderId="2" xfId="21" applyNumberFormat="1" applyFont="1" applyFill="1" applyBorder="1" applyAlignment="1">
      <alignment horizontal="center"/>
      <protection/>
    </xf>
    <xf numFmtId="6" fontId="5" fillId="4" borderId="2" xfId="21" applyNumberFormat="1" applyFont="1" applyFill="1" applyBorder="1" applyAlignment="1">
      <alignment horizontal="center"/>
      <protection/>
    </xf>
    <xf numFmtId="6" fontId="5" fillId="5" borderId="2" xfId="21" applyNumberFormat="1" applyFont="1" applyFill="1" applyBorder="1" applyAlignment="1">
      <alignment horizontal="center"/>
      <protection/>
    </xf>
    <xf numFmtId="6" fontId="5" fillId="6" borderId="2" xfId="21" applyNumberFormat="1" applyFont="1" applyFill="1" applyBorder="1" applyAlignment="1">
      <alignment horizontal="center"/>
      <protection/>
    </xf>
    <xf numFmtId="6" fontId="5" fillId="7" borderId="2" xfId="21" applyNumberFormat="1" applyFont="1" applyFill="1" applyBorder="1" applyAlignment="1">
      <alignment horizontal="center"/>
      <protection/>
    </xf>
    <xf numFmtId="6" fontId="5" fillId="8" borderId="2" xfId="21" applyNumberFormat="1" applyFont="1" applyFill="1" applyBorder="1" applyAlignment="1">
      <alignment horizontal="center"/>
      <protection/>
    </xf>
    <xf numFmtId="6" fontId="5" fillId="2" borderId="3" xfId="21" applyNumberFormat="1" applyFont="1" applyFill="1" applyBorder="1" applyAlignment="1">
      <alignment horizontal="center"/>
      <protection/>
    </xf>
    <xf numFmtId="169" fontId="0" fillId="0" borderId="0" xfId="22" applyNumberFormat="1" applyAlignment="1">
      <alignment horizontal="right"/>
    </xf>
    <xf numFmtId="169" fontId="0" fillId="0" borderId="0" xfId="0" applyNumberFormat="1" applyAlignment="1">
      <alignment horizontal="right"/>
    </xf>
    <xf numFmtId="218" fontId="0" fillId="0" borderId="0" xfId="22" applyNumberFormat="1" applyAlignment="1">
      <alignment/>
    </xf>
    <xf numFmtId="218" fontId="0" fillId="0" borderId="7" xfId="22" applyNumberFormat="1" applyBorder="1" applyAlignment="1">
      <alignment/>
    </xf>
    <xf numFmtId="1" fontId="5" fillId="2" borderId="2" xfId="21" applyNumberFormat="1" applyFont="1" applyFill="1" applyBorder="1" applyAlignment="1">
      <alignment horizontal="center"/>
      <protection/>
    </xf>
    <xf numFmtId="1" fontId="5" fillId="3" borderId="2" xfId="21" applyNumberFormat="1" applyFont="1" applyFill="1" applyBorder="1" applyAlignment="1">
      <alignment horizontal="center"/>
      <protection/>
    </xf>
    <xf numFmtId="1" fontId="5" fillId="4" borderId="2" xfId="21" applyNumberFormat="1" applyFont="1" applyFill="1" applyBorder="1" applyAlignment="1">
      <alignment horizontal="center"/>
      <protection/>
    </xf>
    <xf numFmtId="1" fontId="5" fillId="5" borderId="2" xfId="21" applyNumberFormat="1" applyFont="1" applyFill="1" applyBorder="1" applyAlignment="1">
      <alignment horizontal="center"/>
      <protection/>
    </xf>
    <xf numFmtId="1" fontId="5" fillId="6" borderId="2" xfId="21" applyNumberFormat="1" applyFont="1" applyFill="1" applyBorder="1" applyAlignment="1">
      <alignment horizontal="center"/>
      <protection/>
    </xf>
    <xf numFmtId="1" fontId="5" fillId="7" borderId="2" xfId="21" applyNumberFormat="1" applyFont="1" applyFill="1" applyBorder="1" applyAlignment="1">
      <alignment horizontal="center"/>
      <protection/>
    </xf>
    <xf numFmtId="1" fontId="5" fillId="8" borderId="2" xfId="21" applyNumberFormat="1" applyFont="1" applyFill="1" applyBorder="1" applyAlignment="1">
      <alignment horizontal="center"/>
      <protection/>
    </xf>
    <xf numFmtId="1" fontId="5" fillId="2" borderId="3" xfId="21" applyNumberFormat="1" applyFont="1" applyFill="1" applyBorder="1" applyAlignment="1">
      <alignment horizontal="center"/>
      <protection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6" fontId="6" fillId="0" borderId="11" xfId="0" applyNumberFormat="1" applyFont="1" applyBorder="1" applyAlignment="1">
      <alignment/>
    </xf>
    <xf numFmtId="6" fontId="6" fillId="0" borderId="12" xfId="0" applyNumberFormat="1" applyFont="1" applyBorder="1" applyAlignment="1">
      <alignment/>
    </xf>
    <xf numFmtId="192" fontId="5" fillId="0" borderId="0" xfId="21" applyNumberFormat="1" applyFont="1" applyFill="1" applyBorder="1" applyAlignment="1">
      <alignment horizontal="right"/>
      <protection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5" fontId="16" fillId="0" borderId="3" xfId="0" applyNumberFormat="1" applyFont="1" applyBorder="1" applyAlignment="1">
      <alignment horizontal="center"/>
    </xf>
    <xf numFmtId="38" fontId="6" fillId="3" borderId="1" xfId="0" applyNumberFormat="1" applyFont="1" applyFill="1" applyBorder="1" applyAlignment="1">
      <alignment/>
    </xf>
    <xf numFmtId="38" fontId="6" fillId="4" borderId="2" xfId="0" applyNumberFormat="1" applyFont="1" applyFill="1" applyBorder="1" applyAlignment="1">
      <alignment/>
    </xf>
    <xf numFmtId="38" fontId="6" fillId="5" borderId="2" xfId="0" applyNumberFormat="1" applyFont="1" applyFill="1" applyBorder="1" applyAlignment="1">
      <alignment/>
    </xf>
    <xf numFmtId="38" fontId="6" fillId="6" borderId="2" xfId="0" applyNumberFormat="1" applyFont="1" applyFill="1" applyBorder="1" applyAlignment="1">
      <alignment/>
    </xf>
    <xf numFmtId="38" fontId="6" fillId="7" borderId="2" xfId="0" applyNumberFormat="1" applyFont="1" applyFill="1" applyBorder="1" applyAlignment="1">
      <alignment/>
    </xf>
    <xf numFmtId="38" fontId="6" fillId="8" borderId="2" xfId="0" applyNumberFormat="1" applyFont="1" applyFill="1" applyBorder="1" applyAlignment="1">
      <alignment/>
    </xf>
    <xf numFmtId="38" fontId="6" fillId="3" borderId="2" xfId="0" applyNumberFormat="1" applyFont="1" applyFill="1" applyBorder="1" applyAlignment="1">
      <alignment/>
    </xf>
    <xf numFmtId="38" fontId="6" fillId="2" borderId="2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horizontal="right"/>
    </xf>
    <xf numFmtId="218" fontId="13" fillId="0" borderId="0" xfId="0" applyNumberFormat="1" applyFont="1" applyAlignment="1">
      <alignment horizontal="center"/>
    </xf>
    <xf numFmtId="218" fontId="26" fillId="3" borderId="0" xfId="22" applyNumberFormat="1" applyFont="1" applyFill="1" applyAlignment="1">
      <alignment horizontal="center"/>
    </xf>
    <xf numFmtId="218" fontId="26" fillId="4" borderId="0" xfId="22" applyNumberFormat="1" applyFont="1" applyFill="1" applyAlignment="1">
      <alignment horizontal="center"/>
    </xf>
    <xf numFmtId="218" fontId="26" fillId="5" borderId="0" xfId="22" applyNumberFormat="1" applyFont="1" applyFill="1" applyAlignment="1">
      <alignment horizontal="center"/>
    </xf>
    <xf numFmtId="218" fontId="26" fillId="2" borderId="7" xfId="22" applyNumberFormat="1" applyFont="1" applyFill="1" applyBorder="1" applyAlignment="1">
      <alignment horizontal="center"/>
    </xf>
    <xf numFmtId="218" fontId="26" fillId="6" borderId="0" xfId="22" applyNumberFormat="1" applyFont="1" applyFill="1" applyAlignment="1">
      <alignment horizontal="center"/>
    </xf>
    <xf numFmtId="218" fontId="26" fillId="7" borderId="0" xfId="22" applyNumberFormat="1" applyFont="1" applyFill="1" applyAlignment="1">
      <alignment horizontal="center"/>
    </xf>
    <xf numFmtId="218" fontId="26" fillId="8" borderId="0" xfId="22" applyNumberFormat="1" applyFont="1" applyFill="1" applyAlignment="1">
      <alignment horizontal="center"/>
    </xf>
    <xf numFmtId="169" fontId="0" fillId="0" borderId="7" xfId="22" applyNumberFormat="1" applyBorder="1" applyAlignment="1">
      <alignment horizontal="right"/>
    </xf>
    <xf numFmtId="169" fontId="5" fillId="0" borderId="2" xfId="0" applyNumberFormat="1" applyFont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83" fontId="25" fillId="0" borderId="0" xfId="22" applyNumberFormat="1" applyFont="1" applyAlignment="1">
      <alignment/>
    </xf>
    <xf numFmtId="183" fontId="25" fillId="0" borderId="0" xfId="0" applyNumberFormat="1" applyFont="1" applyAlignment="1">
      <alignment/>
    </xf>
    <xf numFmtId="38" fontId="25" fillId="0" borderId="0" xfId="17" applyNumberFormat="1" applyFont="1" applyAlignment="1">
      <alignment/>
    </xf>
    <xf numFmtId="166" fontId="25" fillId="0" borderId="0" xfId="17" applyNumberFormat="1" applyFont="1" applyAlignment="1">
      <alignment/>
    </xf>
    <xf numFmtId="38" fontId="5" fillId="3" borderId="2" xfId="21" applyNumberFormat="1" applyFont="1" applyFill="1" applyBorder="1" applyAlignment="1">
      <alignment horizontal="center"/>
      <protection/>
    </xf>
    <xf numFmtId="38" fontId="5" fillId="4" borderId="2" xfId="21" applyNumberFormat="1" applyFont="1" applyFill="1" applyBorder="1" applyAlignment="1">
      <alignment horizontal="center"/>
      <protection/>
    </xf>
    <xf numFmtId="38" fontId="5" fillId="5" borderId="2" xfId="21" applyNumberFormat="1" applyFont="1" applyFill="1" applyBorder="1" applyAlignment="1">
      <alignment horizontal="center"/>
      <protection/>
    </xf>
    <xf numFmtId="38" fontId="5" fillId="6" borderId="2" xfId="21" applyNumberFormat="1" applyFont="1" applyFill="1" applyBorder="1" applyAlignment="1">
      <alignment horizontal="center"/>
      <protection/>
    </xf>
    <xf numFmtId="38" fontId="5" fillId="7" borderId="2" xfId="21" applyNumberFormat="1" applyFont="1" applyFill="1" applyBorder="1" applyAlignment="1">
      <alignment horizontal="center"/>
      <protection/>
    </xf>
    <xf numFmtId="38" fontId="5" fillId="8" borderId="2" xfId="21" applyNumberFormat="1" applyFont="1" applyFill="1" applyBorder="1" applyAlignment="1">
      <alignment horizontal="center"/>
      <protection/>
    </xf>
    <xf numFmtId="38" fontId="5" fillId="2" borderId="3" xfId="21" applyNumberFormat="1" applyFont="1" applyFill="1" applyBorder="1" applyAlignment="1">
      <alignment horizontal="center"/>
      <protection/>
    </xf>
    <xf numFmtId="6" fontId="20" fillId="0" borderId="0" xfId="0" applyNumberFormat="1" applyFont="1" applyAlignment="1">
      <alignment horizontal="center"/>
    </xf>
    <xf numFmtId="178" fontId="5" fillId="3" borderId="2" xfId="21" applyNumberFormat="1" applyFont="1" applyFill="1" applyBorder="1" applyAlignment="1">
      <alignment horizontal="center"/>
      <protection/>
    </xf>
    <xf numFmtId="178" fontId="5" fillId="4" borderId="2" xfId="21" applyNumberFormat="1" applyFont="1" applyFill="1" applyBorder="1" applyAlignment="1">
      <alignment horizontal="center"/>
      <protection/>
    </xf>
    <xf numFmtId="178" fontId="5" fillId="5" borderId="2" xfId="21" applyNumberFormat="1" applyFont="1" applyFill="1" applyBorder="1" applyAlignment="1">
      <alignment horizontal="center"/>
      <protection/>
    </xf>
    <xf numFmtId="178" fontId="5" fillId="6" borderId="2" xfId="21" applyNumberFormat="1" applyFont="1" applyFill="1" applyBorder="1" applyAlignment="1">
      <alignment horizontal="center"/>
      <protection/>
    </xf>
    <xf numFmtId="178" fontId="5" fillId="7" borderId="2" xfId="21" applyNumberFormat="1" applyFont="1" applyFill="1" applyBorder="1" applyAlignment="1">
      <alignment horizontal="center"/>
      <protection/>
    </xf>
    <xf numFmtId="178" fontId="5" fillId="8" borderId="2" xfId="21" applyNumberFormat="1" applyFont="1" applyFill="1" applyBorder="1" applyAlignment="1">
      <alignment horizontal="center"/>
      <protection/>
    </xf>
    <xf numFmtId="178" fontId="5" fillId="2" borderId="3" xfId="21" applyNumberFormat="1" applyFont="1" applyFill="1" applyBorder="1" applyAlignment="1">
      <alignment horizontal="center"/>
      <protection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69" fontId="5" fillId="0" borderId="1" xfId="0" applyNumberFormat="1" applyFont="1" applyBorder="1" applyAlignment="1">
      <alignment horizontal="center"/>
    </xf>
    <xf numFmtId="218" fontId="5" fillId="3" borderId="2" xfId="21" applyNumberFormat="1" applyFont="1" applyFill="1" applyBorder="1" applyAlignment="1">
      <alignment horizontal="center"/>
      <protection/>
    </xf>
    <xf numFmtId="218" fontId="5" fillId="4" borderId="2" xfId="21" applyNumberFormat="1" applyFont="1" applyFill="1" applyBorder="1" applyAlignment="1">
      <alignment horizontal="center"/>
      <protection/>
    </xf>
    <xf numFmtId="218" fontId="5" fillId="5" borderId="2" xfId="21" applyNumberFormat="1" applyFont="1" applyFill="1" applyBorder="1" applyAlignment="1">
      <alignment horizontal="center"/>
      <protection/>
    </xf>
    <xf numFmtId="218" fontId="5" fillId="6" borderId="2" xfId="21" applyNumberFormat="1" applyFont="1" applyFill="1" applyBorder="1" applyAlignment="1">
      <alignment horizontal="center"/>
      <protection/>
    </xf>
    <xf numFmtId="218" fontId="5" fillId="7" borderId="2" xfId="21" applyNumberFormat="1" applyFont="1" applyFill="1" applyBorder="1" applyAlignment="1">
      <alignment horizontal="center"/>
      <protection/>
    </xf>
    <xf numFmtId="218" fontId="5" fillId="8" borderId="2" xfId="21" applyNumberFormat="1" applyFont="1" applyFill="1" applyBorder="1" applyAlignment="1">
      <alignment horizontal="center"/>
      <protection/>
    </xf>
    <xf numFmtId="218" fontId="5" fillId="2" borderId="3" xfId="21" applyNumberFormat="1" applyFont="1" applyFill="1" applyBorder="1" applyAlignment="1">
      <alignment horizontal="center"/>
      <protection/>
    </xf>
    <xf numFmtId="0" fontId="10" fillId="0" borderId="0" xfId="20" applyAlignment="1">
      <alignment/>
    </xf>
    <xf numFmtId="0" fontId="29" fillId="0" borderId="0" xfId="0" applyFont="1" applyAlignment="1">
      <alignment/>
    </xf>
    <xf numFmtId="10" fontId="0" fillId="2" borderId="7" xfId="22" applyNumberFormat="1" applyFill="1" applyBorder="1" applyAlignment="1">
      <alignment/>
    </xf>
    <xf numFmtId="10" fontId="0" fillId="3" borderId="7" xfId="22" applyNumberFormat="1" applyFill="1" applyBorder="1" applyAlignment="1">
      <alignment/>
    </xf>
    <xf numFmtId="10" fontId="0" fillId="8" borderId="7" xfId="22" applyNumberFormat="1" applyFill="1" applyBorder="1" applyAlignment="1">
      <alignment/>
    </xf>
    <xf numFmtId="10" fontId="0" fillId="6" borderId="7" xfId="22" applyNumberFormat="1" applyFill="1" applyBorder="1" applyAlignment="1">
      <alignment/>
    </xf>
    <xf numFmtId="10" fontId="0" fillId="5" borderId="7" xfId="22" applyNumberFormat="1" applyFill="1" applyBorder="1" applyAlignment="1">
      <alignment/>
    </xf>
    <xf numFmtId="10" fontId="0" fillId="4" borderId="7" xfId="22" applyNumberFormat="1" applyFill="1" applyBorder="1" applyAlignment="1">
      <alignment/>
    </xf>
    <xf numFmtId="10" fontId="0" fillId="7" borderId="7" xfId="22" applyNumberFormat="1" applyFill="1" applyBorder="1" applyAlignment="1">
      <alignment/>
    </xf>
    <xf numFmtId="6" fontId="20" fillId="0" borderId="14" xfId="0" applyNumberFormat="1" applyFont="1" applyBorder="1" applyAlignment="1">
      <alignment horizontal="center"/>
    </xf>
    <xf numFmtId="0" fontId="2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6" fillId="0" borderId="1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3" xfId="0" applyFont="1" applyBorder="1" applyAlignment="1">
      <alignment/>
    </xf>
    <xf numFmtId="38" fontId="20" fillId="0" borderId="0" xfId="0" applyNumberFormat="1" applyFont="1" applyAlignment="1">
      <alignment horizontal="center"/>
    </xf>
    <xf numFmtId="218" fontId="20" fillId="0" borderId="2" xfId="0" applyNumberFormat="1" applyFont="1" applyFill="1" applyBorder="1" applyAlignment="1">
      <alignment horizontal="center"/>
    </xf>
    <xf numFmtId="169" fontId="20" fillId="0" borderId="3" xfId="0" applyNumberFormat="1" applyFont="1" applyFill="1" applyBorder="1" applyAlignment="1">
      <alignment horizontal="center"/>
    </xf>
    <xf numFmtId="10" fontId="5" fillId="3" borderId="2" xfId="21" applyNumberFormat="1" applyFont="1" applyFill="1" applyBorder="1" applyAlignment="1">
      <alignment horizontal="center"/>
      <protection/>
    </xf>
    <xf numFmtId="10" fontId="5" fillId="4" borderId="2" xfId="21" applyNumberFormat="1" applyFont="1" applyFill="1" applyBorder="1" applyAlignment="1">
      <alignment horizontal="center"/>
      <protection/>
    </xf>
    <xf numFmtId="10" fontId="5" fillId="5" borderId="2" xfId="21" applyNumberFormat="1" applyFont="1" applyFill="1" applyBorder="1" applyAlignment="1">
      <alignment horizontal="center"/>
      <protection/>
    </xf>
    <xf numFmtId="10" fontId="5" fillId="6" borderId="2" xfId="21" applyNumberFormat="1" applyFont="1" applyFill="1" applyBorder="1" applyAlignment="1">
      <alignment horizontal="center"/>
      <protection/>
    </xf>
    <xf numFmtId="10" fontId="5" fillId="7" borderId="2" xfId="21" applyNumberFormat="1" applyFont="1" applyFill="1" applyBorder="1" applyAlignment="1">
      <alignment horizontal="center"/>
      <protection/>
    </xf>
    <xf numFmtId="10" fontId="5" fillId="8" borderId="2" xfId="21" applyNumberFormat="1" applyFont="1" applyFill="1" applyBorder="1" applyAlignment="1">
      <alignment horizontal="center"/>
      <protection/>
    </xf>
    <xf numFmtId="10" fontId="5" fillId="2" borderId="3" xfId="21" applyNumberFormat="1" applyFont="1" applyFill="1" applyBorder="1" applyAlignment="1">
      <alignment horizontal="center"/>
      <protection/>
    </xf>
    <xf numFmtId="10" fontId="5" fillId="0" borderId="2" xfId="0" applyNumberFormat="1" applyFont="1" applyBorder="1" applyAlignment="1">
      <alignment horizontal="center"/>
    </xf>
    <xf numFmtId="10" fontId="20" fillId="0" borderId="2" xfId="0" applyNumberFormat="1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0" fontId="5" fillId="0" borderId="16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0" borderId="9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21" fillId="0" borderId="9" xfId="0" applyFont="1" applyFill="1" applyBorder="1" applyAlignment="1">
      <alignment horizontal="center"/>
    </xf>
    <xf numFmtId="10" fontId="24" fillId="0" borderId="0" xfId="0" applyNumberFormat="1" applyFont="1" applyAlignment="1">
      <alignment horizontal="center"/>
    </xf>
    <xf numFmtId="10" fontId="24" fillId="0" borderId="12" xfId="0" applyNumberFormat="1" applyFont="1" applyBorder="1" applyAlignment="1">
      <alignment horizontal="left"/>
    </xf>
    <xf numFmtId="0" fontId="24" fillId="0" borderId="0" xfId="0" applyFont="1" applyAlignment="1">
      <alignment horizontal="center"/>
    </xf>
    <xf numFmtId="10" fontId="19" fillId="2" borderId="0" xfId="22" applyNumberFormat="1" applyFont="1" applyFill="1" applyAlignment="1">
      <alignment horizontal="center"/>
    </xf>
    <xf numFmtId="10" fontId="19" fillId="0" borderId="0" xfId="0" applyNumberFormat="1" applyFont="1" applyAlignment="1">
      <alignment horizontal="center"/>
    </xf>
    <xf numFmtId="10" fontId="19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19" fillId="3" borderId="0" xfId="22" applyNumberFormat="1" applyFont="1" applyFill="1" applyAlignment="1">
      <alignment horizontal="center"/>
    </xf>
    <xf numFmtId="10" fontId="19" fillId="4" borderId="0" xfId="22" applyNumberFormat="1" applyFont="1" applyFill="1" applyAlignment="1">
      <alignment horizontal="center"/>
    </xf>
    <xf numFmtId="10" fontId="19" fillId="5" borderId="0" xfId="22" applyNumberFormat="1" applyFont="1" applyFill="1" applyAlignment="1">
      <alignment horizontal="center"/>
    </xf>
    <xf numFmtId="10" fontId="19" fillId="6" borderId="0" xfId="22" applyNumberFormat="1" applyFont="1" applyFill="1" applyAlignment="1">
      <alignment horizontal="center"/>
    </xf>
    <xf numFmtId="10" fontId="19" fillId="7" borderId="0" xfId="22" applyNumberFormat="1" applyFont="1" applyFill="1" applyAlignment="1">
      <alignment horizontal="center"/>
    </xf>
    <xf numFmtId="10" fontId="19" fillId="8" borderId="0" xfId="22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FX Swap Cash Flows in XYC Company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Accounting!$A$37:$A$44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Accounting!$C$37:$C$44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0467183"/>
        <c:axId val="7333736"/>
      </c:lineChart>
      <c:catAx>
        <c:axId val="60467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Quarter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7333736"/>
        <c:crosses val="autoZero"/>
        <c:auto val="1"/>
        <c:lblOffset val="100"/>
        <c:noMultiLvlLbl val="0"/>
      </c:catAx>
      <c:valAx>
        <c:axId val="7333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U.S.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67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FX Swap Cash Flows in XYC Company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Accounting!$A$37:$A$44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Accounting!$C$37:$C$44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6003625"/>
        <c:axId val="57161714"/>
      </c:lineChart>
      <c:catAx>
        <c:axId val="66003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Quarter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7161714"/>
        <c:crosses val="autoZero"/>
        <c:auto val="1"/>
        <c:lblOffset val="100"/>
        <c:noMultiLvlLbl val="0"/>
      </c:catAx>
      <c:valAx>
        <c:axId val="57161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U.S.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03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33</xdr:row>
      <xdr:rowOff>28575</xdr:rowOff>
    </xdr:from>
    <xdr:to>
      <xdr:col>10</xdr:col>
      <xdr:colOff>219075</xdr:colOff>
      <xdr:row>47</xdr:row>
      <xdr:rowOff>114300</xdr:rowOff>
    </xdr:to>
    <xdr:graphicFrame>
      <xdr:nvGraphicFramePr>
        <xdr:cNvPr id="1" name="Chart 35"/>
        <xdr:cNvGraphicFramePr/>
      </xdr:nvGraphicFramePr>
      <xdr:xfrm>
        <a:off x="4314825" y="5553075"/>
        <a:ext cx="58864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33</xdr:row>
      <xdr:rowOff>28575</xdr:rowOff>
    </xdr:from>
    <xdr:to>
      <xdr:col>10</xdr:col>
      <xdr:colOff>219075</xdr:colOff>
      <xdr:row>47</xdr:row>
      <xdr:rowOff>114300</xdr:rowOff>
    </xdr:to>
    <xdr:graphicFrame>
      <xdr:nvGraphicFramePr>
        <xdr:cNvPr id="2" name="Chart 43"/>
        <xdr:cNvGraphicFramePr/>
      </xdr:nvGraphicFramePr>
      <xdr:xfrm>
        <a:off x="4314825" y="5553075"/>
        <a:ext cx="58864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jensen\junk\Acct5341\examples\sfas133\133ex0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jensen\0restric\Courses\Acct5341\caseans\xls\288wp\288w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s"/>
      <sheetName val="Effective"/>
      <sheetName val="Ineffective"/>
      <sheetName val="Yield Curve"/>
      <sheetName val="Calculations"/>
      <sheetName val="133ex02a"/>
    </sheetNames>
    <definedNames>
      <definedName name="Button1_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estions"/>
      <sheetName val="Accounting"/>
      <sheetName val="OCI Sensitivity"/>
      <sheetName val="Earnings Sensitivi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nity.edu/ACCT5341/speakers/133glosf.htm#F-Terms" TargetMode="External" /><Relationship Id="rId2" Type="http://schemas.openxmlformats.org/officeDocument/2006/relationships/hyperlink" Target="http://www.trinity.edu/ACCT5341/speakers/133glosf.htm#F-Terms" TargetMode="External" /><Relationship Id="rId3" Type="http://schemas.openxmlformats.org/officeDocument/2006/relationships/hyperlink" Target="http://www.trinity.edu/ACCT5341/speakers/133glosf.htm#F-Terms" TargetMode="External" /><Relationship Id="rId4" Type="http://schemas.openxmlformats.org/officeDocument/2006/relationships/hyperlink" Target="http://www.trinity.edu/rjensen/acct5341/speakers/133glosf.htm" TargetMode="External" /><Relationship Id="rId5" Type="http://schemas.openxmlformats.org/officeDocument/2006/relationships/hyperlink" Target="http://www.trinity.edu/ACCT5341/speakers/133glosf.htm#F-Terms" TargetMode="External" /><Relationship Id="rId6" Type="http://schemas.openxmlformats.org/officeDocument/2006/relationships/hyperlink" Target="http://www.trinity.edu/rjensen/acct5341/speakers/133glosf.htm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nity.edu/rjensen/acct5341/speakers/133glosf.htm" TargetMode="External" /><Relationship Id="rId2" Type="http://schemas.openxmlformats.org/officeDocument/2006/relationships/hyperlink" Target="http://www.trinity.edu/rjensen/caseans/133exh02a.htm" TargetMode="External" /><Relationship Id="rId3" Type="http://schemas.openxmlformats.org/officeDocument/2006/relationships/hyperlink" Target="http://www.trinity.edu/rjensen/acct5341/speakers/133glosf.htm" TargetMode="External" /><Relationship Id="rId4" Type="http://schemas.openxmlformats.org/officeDocument/2006/relationships/hyperlink" Target="http://www.trinity.edu/rjensen/acct5341/speakers/133glosf.htm" TargetMode="External" /><Relationship Id="rId5" Type="http://schemas.openxmlformats.org/officeDocument/2006/relationships/hyperlink" Target="http://www.trinity.edu/rjensen/caseans/133exh02a.htm" TargetMode="External" /><Relationship Id="rId6" Type="http://schemas.openxmlformats.org/officeDocument/2006/relationships/hyperlink" Target="http://www.trinity.edu/rjensen/acct5341/speakers/133glosf.htm" TargetMode="External" /><Relationship Id="rId7" Type="http://schemas.openxmlformats.org/officeDocument/2006/relationships/hyperlink" Target="http://www.trinity.edu/rjensen/caseans/133exh02a.htm" TargetMode="External" /><Relationship Id="rId8" Type="http://schemas.openxmlformats.org/officeDocument/2006/relationships/hyperlink" Target="http://www.trinity.edu/rjensen/acct5341/speakers/133glosf.htm" TargetMode="External" /><Relationship Id="rId9" Type="http://schemas.openxmlformats.org/officeDocument/2006/relationships/hyperlink" Target="http://www.trinity.edu/rjensen/caseans/133exh02a.htm" TargetMode="External" /><Relationship Id="rId10" Type="http://schemas.openxmlformats.org/officeDocument/2006/relationships/hyperlink" Target="http://www.trinity.edu/rjensen/acct5341/speakers/133glosf.htm" TargetMode="External" /><Relationship Id="rId11" Type="http://schemas.openxmlformats.org/officeDocument/2006/relationships/hyperlink" Target="http://www.trinity.edu/rjensen/caseans/133exh02a.htm" TargetMode="External" /><Relationship Id="rId12" Type="http://schemas.openxmlformats.org/officeDocument/2006/relationships/hyperlink" Target="http://www.trinity.edu/rjensen/acct5341/speakers/133glosf.htm" TargetMode="External" /><Relationship Id="rId13" Type="http://schemas.openxmlformats.org/officeDocument/2006/relationships/hyperlink" Target="http://www.trinity.edu/rjensen/acct5341/speakers/133glosf.htm" TargetMode="External" /><Relationship Id="rId14" Type="http://schemas.openxmlformats.org/officeDocument/2006/relationships/hyperlink" Target="http://www.trinity.edu/rjensen/caseans/133exh02a.htm" TargetMode="External" /><Relationship Id="rId15" Type="http://schemas.openxmlformats.org/officeDocument/2006/relationships/comments" Target="../comments2.xml" /><Relationship Id="rId16" Type="http://schemas.openxmlformats.org/officeDocument/2006/relationships/vmlDrawing" Target="../drawings/vmlDrawing2.v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tabSelected="1" workbookViewId="0" topLeftCell="A1">
      <selection activeCell="A1" sqref="A1"/>
    </sheetView>
  </sheetViews>
  <sheetFormatPr defaultColWidth="10.66015625" defaultRowHeight="12.75"/>
  <cols>
    <col min="2" max="2" width="11.83203125" style="0" bestFit="1" customWidth="1"/>
    <col min="3" max="3" width="12.5" style="0" bestFit="1" customWidth="1"/>
    <col min="4" max="4" width="16.16015625" style="0" bestFit="1" customWidth="1"/>
    <col min="5" max="5" width="19.5" style="0" customWidth="1"/>
    <col min="6" max="6" width="16.16015625" style="0" bestFit="1" customWidth="1"/>
    <col min="7" max="10" width="14.16015625" style="0" bestFit="1" customWidth="1"/>
    <col min="11" max="11" width="16.83203125" style="0" bestFit="1" customWidth="1"/>
    <col min="13" max="13" width="18" style="0" bestFit="1" customWidth="1"/>
    <col min="14" max="14" width="14.66015625" style="0" bestFit="1" customWidth="1"/>
  </cols>
  <sheetData>
    <row r="1" ht="12.75">
      <c r="A1" s="9" t="s">
        <v>33</v>
      </c>
    </row>
    <row r="2" ht="12.75">
      <c r="A2" t="s">
        <v>253</v>
      </c>
    </row>
    <row r="3" spans="1:6" ht="12.75">
      <c r="A3" s="119" t="s">
        <v>78</v>
      </c>
      <c r="B3" s="84"/>
      <c r="C3" s="120"/>
      <c r="D3" s="85"/>
      <c r="E3" s="85"/>
      <c r="F3" s="120"/>
    </row>
    <row r="4" spans="1:6" ht="12.75">
      <c r="A4" s="121" t="s">
        <v>205</v>
      </c>
      <c r="C4" s="120"/>
      <c r="D4" s="85"/>
      <c r="E4" s="85"/>
      <c r="F4" s="120"/>
    </row>
    <row r="6" spans="1:14" ht="12.75">
      <c r="A6" t="s">
        <v>49</v>
      </c>
      <c r="B6" s="122"/>
      <c r="H6" s="35"/>
      <c r="I6" s="35"/>
      <c r="J6" s="78"/>
      <c r="L6" s="35"/>
      <c r="M6" s="35"/>
      <c r="N6" s="78"/>
    </row>
    <row r="7" spans="1:14" ht="12.75">
      <c r="A7" t="s">
        <v>50</v>
      </c>
      <c r="B7" s="122"/>
      <c r="H7" s="35"/>
      <c r="I7" s="35"/>
      <c r="J7" s="78"/>
      <c r="L7" s="35"/>
      <c r="M7" s="35"/>
      <c r="N7" s="78"/>
    </row>
    <row r="8" spans="1:14" ht="12.75">
      <c r="A8" t="s">
        <v>76</v>
      </c>
      <c r="B8" s="122"/>
      <c r="H8" s="35"/>
      <c r="I8" s="35"/>
      <c r="J8" s="78"/>
      <c r="L8" s="35"/>
      <c r="M8" s="35"/>
      <c r="N8" s="78"/>
    </row>
    <row r="9" spans="1:14" ht="12.75">
      <c r="A9" t="s">
        <v>48</v>
      </c>
      <c r="B9" s="122"/>
      <c r="H9" s="35"/>
      <c r="I9" s="35"/>
      <c r="J9" s="78"/>
      <c r="L9" s="35"/>
      <c r="M9" s="35"/>
      <c r="N9" s="78"/>
    </row>
    <row r="10" spans="1:14" ht="12.75">
      <c r="A10" t="s">
        <v>77</v>
      </c>
      <c r="B10" s="122"/>
      <c r="H10" s="35"/>
      <c r="I10" s="35"/>
      <c r="J10" s="78"/>
      <c r="L10" s="35"/>
      <c r="M10" s="35"/>
      <c r="N10" s="78"/>
    </row>
    <row r="11" spans="2:14" ht="12.75">
      <c r="B11" s="122" t="s">
        <v>21</v>
      </c>
      <c r="H11" s="35"/>
      <c r="I11" s="35"/>
      <c r="J11" s="78"/>
      <c r="L11" s="35"/>
      <c r="M11" s="35"/>
      <c r="N11" s="78"/>
    </row>
    <row r="12" spans="2:14" ht="12.75">
      <c r="B12" s="122"/>
      <c r="H12" s="35"/>
      <c r="I12" s="35"/>
      <c r="J12" s="78"/>
      <c r="L12" s="35"/>
      <c r="M12" s="35"/>
      <c r="N12" s="78"/>
    </row>
    <row r="13" spans="1:14" ht="12.75">
      <c r="A13" s="34"/>
      <c r="B13" s="1"/>
      <c r="C13" s="1"/>
      <c r="D13" s="1"/>
      <c r="E13" s="1"/>
      <c r="F13" s="123"/>
      <c r="H13" s="35"/>
      <c r="I13" s="35"/>
      <c r="J13" s="78"/>
      <c r="L13" s="35"/>
      <c r="M13" s="35"/>
      <c r="N13" s="78"/>
    </row>
    <row r="14" spans="1:14" ht="12.75">
      <c r="A14" s="34"/>
      <c r="B14" s="1"/>
      <c r="C14" s="1"/>
      <c r="D14" s="1"/>
      <c r="E14" s="1"/>
      <c r="F14" s="123"/>
      <c r="H14" s="35"/>
      <c r="I14" s="35"/>
      <c r="J14" s="78"/>
      <c r="L14" s="35"/>
      <c r="M14" s="35"/>
      <c r="N14" s="78"/>
    </row>
    <row r="15" spans="1:14" ht="12.75">
      <c r="A15" s="34"/>
      <c r="B15" s="1"/>
      <c r="C15" s="1"/>
      <c r="D15" s="1"/>
      <c r="E15" s="1"/>
      <c r="F15" s="123"/>
      <c r="H15" s="35"/>
      <c r="I15" s="35"/>
      <c r="J15" s="78"/>
      <c r="L15" s="35"/>
      <c r="M15" s="35"/>
      <c r="N15" s="78"/>
    </row>
    <row r="16" spans="1:14" ht="12.75">
      <c r="A16" s="34"/>
      <c r="B16" s="1"/>
      <c r="C16" s="1"/>
      <c r="D16" s="1"/>
      <c r="E16" s="1"/>
      <c r="F16" s="123"/>
      <c r="H16" s="35"/>
      <c r="I16" s="35"/>
      <c r="J16" s="78"/>
      <c r="L16" s="35"/>
      <c r="M16" s="35"/>
      <c r="N16" s="78"/>
    </row>
    <row r="17" spans="1:6" ht="12.75">
      <c r="A17" s="85"/>
      <c r="B17" s="84"/>
      <c r="C17" s="120"/>
      <c r="D17" s="85"/>
      <c r="E17" s="85"/>
      <c r="F17" s="120"/>
    </row>
    <row r="18" spans="1:6" ht="12.75">
      <c r="A18" s="124" t="s">
        <v>51</v>
      </c>
      <c r="B18" s="71" t="s">
        <v>47</v>
      </c>
      <c r="D18" s="85"/>
      <c r="E18" s="85"/>
      <c r="F18" s="120"/>
    </row>
    <row r="19" spans="1:6" ht="12.75">
      <c r="A19" s="124"/>
      <c r="B19" s="71"/>
      <c r="D19" s="85"/>
      <c r="E19" s="85"/>
      <c r="F19" s="120"/>
    </row>
    <row r="20" spans="1:6" ht="12.75">
      <c r="A20" s="121" t="s">
        <v>90</v>
      </c>
      <c r="B20" s="71"/>
      <c r="D20" s="85"/>
      <c r="E20" s="85"/>
      <c r="F20" s="120"/>
    </row>
    <row r="21" spans="1:6" ht="12.75">
      <c r="A21" s="124"/>
      <c r="B21" s="71"/>
      <c r="D21" s="85"/>
      <c r="E21" s="85"/>
      <c r="F21" s="120"/>
    </row>
    <row r="22" spans="1:6" ht="12.75">
      <c r="A22" s="39" t="s">
        <v>83</v>
      </c>
      <c r="B22" s="71"/>
      <c r="D22" s="85"/>
      <c r="E22" s="85"/>
      <c r="F22" s="120"/>
    </row>
    <row r="23" spans="1:6" ht="12.75">
      <c r="A23" s="125" t="s">
        <v>296</v>
      </c>
      <c r="B23" s="71"/>
      <c r="D23" s="85"/>
      <c r="E23" s="85"/>
      <c r="F23" s="120"/>
    </row>
    <row r="24" spans="1:6" ht="12.75">
      <c r="A24" s="125" t="s">
        <v>79</v>
      </c>
      <c r="B24" s="71"/>
      <c r="D24" s="85"/>
      <c r="E24" s="85"/>
      <c r="F24" s="120"/>
    </row>
    <row r="25" spans="1:6" ht="12.75">
      <c r="A25" s="125" t="s">
        <v>247</v>
      </c>
      <c r="B25" s="71"/>
      <c r="D25" s="85"/>
      <c r="E25" s="85"/>
      <c r="F25" s="120"/>
    </row>
    <row r="26" spans="1:6" ht="12.75">
      <c r="A26" s="125" t="s">
        <v>278</v>
      </c>
      <c r="B26" s="71"/>
      <c r="D26" s="85"/>
      <c r="E26" s="85"/>
      <c r="F26" s="120"/>
    </row>
    <row r="27" spans="1:6" ht="12.75">
      <c r="A27" s="125" t="s">
        <v>85</v>
      </c>
      <c r="B27" s="71"/>
      <c r="D27" s="85"/>
      <c r="E27" s="85"/>
      <c r="F27" s="120"/>
    </row>
    <row r="28" spans="1:6" ht="12.75">
      <c r="A28" s="125"/>
      <c r="B28" s="71"/>
      <c r="D28" s="85"/>
      <c r="E28" s="85"/>
      <c r="F28" s="120"/>
    </row>
    <row r="29" spans="1:6" ht="12.75">
      <c r="A29" s="39" t="s">
        <v>80</v>
      </c>
      <c r="D29" s="85"/>
      <c r="E29" s="85"/>
      <c r="F29" s="120"/>
    </row>
    <row r="30" ht="12.75">
      <c r="A30" s="125" t="s">
        <v>297</v>
      </c>
    </row>
    <row r="31" ht="12.75">
      <c r="A31" s="125" t="s">
        <v>207</v>
      </c>
    </row>
    <row r="32" ht="12.75">
      <c r="A32" s="125" t="s">
        <v>208</v>
      </c>
    </row>
    <row r="33" ht="12.75">
      <c r="A33" s="125" t="s">
        <v>209</v>
      </c>
    </row>
    <row r="34" ht="12.75">
      <c r="A34" s="125" t="s">
        <v>91</v>
      </c>
    </row>
    <row r="35" ht="12.75">
      <c r="A35" s="125" t="s">
        <v>279</v>
      </c>
    </row>
    <row r="36" ht="12.75">
      <c r="A36" s="125"/>
    </row>
    <row r="37" ht="12.75">
      <c r="A37" s="125" t="s">
        <v>264</v>
      </c>
    </row>
    <row r="38" ht="12.75">
      <c r="A38" s="125" t="s">
        <v>265</v>
      </c>
    </row>
    <row r="39" ht="12.75">
      <c r="A39" s="125" t="s">
        <v>266</v>
      </c>
    </row>
    <row r="40" ht="12.75">
      <c r="A40" s="125" t="s">
        <v>267</v>
      </c>
    </row>
    <row r="41" ht="12.75">
      <c r="A41" s="125"/>
    </row>
    <row r="42" ht="12.75">
      <c r="A42" s="125" t="s">
        <v>291</v>
      </c>
    </row>
    <row r="43" ht="12.75">
      <c r="A43" s="125" t="s">
        <v>292</v>
      </c>
    </row>
    <row r="44" ht="12.75">
      <c r="A44" s="125" t="s">
        <v>294</v>
      </c>
    </row>
    <row r="45" ht="15.75">
      <c r="A45" s="341" t="s">
        <v>295</v>
      </c>
    </row>
    <row r="46" ht="12.75">
      <c r="A46" s="125" t="s">
        <v>270</v>
      </c>
    </row>
    <row r="47" ht="12.75">
      <c r="A47" s="125"/>
    </row>
    <row r="48" ht="12.75">
      <c r="A48" s="125" t="s">
        <v>271</v>
      </c>
    </row>
    <row r="49" ht="12.75">
      <c r="A49" s="125" t="s">
        <v>272</v>
      </c>
    </row>
    <row r="50" ht="12.75">
      <c r="A50" s="125" t="s">
        <v>273</v>
      </c>
    </row>
    <row r="51" ht="12.75">
      <c r="A51" s="125" t="s">
        <v>274</v>
      </c>
    </row>
    <row r="52" ht="12.75">
      <c r="A52" s="125" t="s">
        <v>275</v>
      </c>
    </row>
    <row r="53" ht="12.75">
      <c r="A53" s="125" t="s">
        <v>276</v>
      </c>
    </row>
    <row r="54" ht="12.75">
      <c r="A54" s="125" t="s">
        <v>277</v>
      </c>
    </row>
    <row r="55" ht="12.75">
      <c r="A55" s="125" t="s">
        <v>293</v>
      </c>
    </row>
    <row r="56" ht="12.75">
      <c r="A56" s="125"/>
    </row>
    <row r="57" ht="12.75">
      <c r="A57" s="125" t="s">
        <v>81</v>
      </c>
    </row>
    <row r="58" ht="12.75">
      <c r="A58" s="125" t="s">
        <v>82</v>
      </c>
    </row>
    <row r="59" ht="12.75">
      <c r="A59" s="125" t="s">
        <v>86</v>
      </c>
    </row>
    <row r="60" ht="12.75">
      <c r="A60" s="125" t="s">
        <v>87</v>
      </c>
    </row>
    <row r="61" ht="12.75">
      <c r="A61" s="125"/>
    </row>
    <row r="62" ht="12.75">
      <c r="A62" s="125" t="s">
        <v>84</v>
      </c>
    </row>
    <row r="63" ht="12.75">
      <c r="A63" s="125" t="s">
        <v>88</v>
      </c>
    </row>
    <row r="64" ht="12.75">
      <c r="A64" s="125" t="s">
        <v>255</v>
      </c>
    </row>
    <row r="66" ht="12.75">
      <c r="A66" s="125" t="s">
        <v>196</v>
      </c>
    </row>
    <row r="68" spans="1:6" ht="15.75">
      <c r="A68" s="100"/>
      <c r="B68" s="15" t="s">
        <v>63</v>
      </c>
      <c r="C68" s="269" t="s">
        <v>194</v>
      </c>
      <c r="D68" s="16" t="s">
        <v>105</v>
      </c>
      <c r="E68" s="16" t="s">
        <v>42</v>
      </c>
      <c r="F68" s="16" t="s">
        <v>93</v>
      </c>
    </row>
    <row r="69" spans="1:6" ht="15.75">
      <c r="A69" s="101"/>
      <c r="B69" s="18" t="s">
        <v>94</v>
      </c>
      <c r="C69" s="270" t="s">
        <v>195</v>
      </c>
      <c r="D69" s="19" t="s">
        <v>5</v>
      </c>
      <c r="E69" s="19" t="s">
        <v>30</v>
      </c>
      <c r="F69" s="19" t="s">
        <v>75</v>
      </c>
    </row>
    <row r="70" spans="1:6" ht="15.75">
      <c r="A70" s="21" t="s">
        <v>20</v>
      </c>
      <c r="B70" s="22" t="s">
        <v>26</v>
      </c>
      <c r="C70" s="271" t="s">
        <v>123</v>
      </c>
      <c r="D70" s="21" t="s">
        <v>38</v>
      </c>
      <c r="E70" s="21" t="s">
        <v>25</v>
      </c>
      <c r="F70" s="21" t="s">
        <v>24</v>
      </c>
    </row>
    <row r="71" spans="1:6" ht="12.75">
      <c r="A71" s="153">
        <v>37073</v>
      </c>
      <c r="B71" s="205">
        <v>2</v>
      </c>
      <c r="C71" s="205" t="s">
        <v>21</v>
      </c>
      <c r="D71" s="249">
        <v>0</v>
      </c>
      <c r="E71" s="249">
        <v>0</v>
      </c>
      <c r="F71" s="249">
        <v>0</v>
      </c>
    </row>
    <row r="72" spans="1:6" ht="12.75">
      <c r="A72" s="93">
        <v>37164</v>
      </c>
      <c r="B72" s="206">
        <v>2.0225</v>
      </c>
      <c r="C72" s="262">
        <v>600000</v>
      </c>
      <c r="D72" s="250">
        <v>-4586.835599505575</v>
      </c>
      <c r="E72" s="250">
        <v>-3890.9935734162277</v>
      </c>
      <c r="F72" s="250">
        <v>0</v>
      </c>
    </row>
    <row r="73" spans="1:6" ht="12.75">
      <c r="A73" s="154">
        <v>37256</v>
      </c>
      <c r="B73" s="207">
        <v>2.015</v>
      </c>
      <c r="C73" s="263">
        <f>C72</f>
        <v>600000</v>
      </c>
      <c r="D73" s="251">
        <v>-3648.2630272953247</v>
      </c>
      <c r="E73" s="251">
        <v>4995.533161208478</v>
      </c>
      <c r="F73" s="251">
        <v>-99.90125999746165</v>
      </c>
    </row>
    <row r="74" spans="1:6" ht="12.75">
      <c r="A74" s="89">
        <v>37346</v>
      </c>
      <c r="B74" s="208">
        <v>1.9875</v>
      </c>
      <c r="C74" s="264">
        <f aca="true" t="shared" si="0" ref="C74:C79">C73</f>
        <v>600000</v>
      </c>
      <c r="D74" s="252">
        <v>-146.22641509436653</v>
      </c>
      <c r="E74" s="252">
        <v>5971.667987070307</v>
      </c>
      <c r="F74" s="252">
        <v>128.26031391402768</v>
      </c>
    </row>
    <row r="75" spans="1:6" ht="12.75">
      <c r="A75" s="90">
        <v>37437</v>
      </c>
      <c r="B75" s="209">
        <v>1.975</v>
      </c>
      <c r="C75" s="265">
        <f t="shared" si="0"/>
        <v>600000</v>
      </c>
      <c r="D75" s="253">
        <v>1477.8481012657867</v>
      </c>
      <c r="E75" s="253">
        <v>9770.285343373751</v>
      </c>
      <c r="F75" s="253">
        <v>153.32257556803015</v>
      </c>
    </row>
    <row r="76" spans="1:6" ht="12.75">
      <c r="A76" s="91">
        <v>37529</v>
      </c>
      <c r="B76" s="210">
        <v>1.9685</v>
      </c>
      <c r="C76" s="266">
        <f t="shared" si="0"/>
        <v>600000</v>
      </c>
      <c r="D76" s="254">
        <v>2330.518161036307</v>
      </c>
      <c r="E76" s="254">
        <v>16781.9307619084</v>
      </c>
      <c r="F76" s="254">
        <v>250.85207619112106</v>
      </c>
    </row>
    <row r="77" spans="1:6" ht="12.75">
      <c r="A77" s="92">
        <v>37621</v>
      </c>
      <c r="B77" s="211">
        <v>1.948</v>
      </c>
      <c r="C77" s="267">
        <f t="shared" si="0"/>
        <v>600000</v>
      </c>
      <c r="D77" s="255">
        <v>5056.981519507157</v>
      </c>
      <c r="E77" s="255">
        <v>11736.5929898051</v>
      </c>
      <c r="F77" s="255">
        <v>430.87607231199814</v>
      </c>
    </row>
    <row r="78" spans="1:6" ht="12.75">
      <c r="A78" s="93">
        <v>37711</v>
      </c>
      <c r="B78" s="206">
        <v>1.9325</v>
      </c>
      <c r="C78" s="262">
        <f t="shared" si="0"/>
        <v>600000</v>
      </c>
      <c r="D78" s="250">
        <v>7156.856403622194</v>
      </c>
      <c r="E78" s="250">
        <v>7646.45508407207</v>
      </c>
      <c r="F78" s="250">
        <v>301.3370250132459</v>
      </c>
    </row>
    <row r="79" spans="1:6" ht="12.75">
      <c r="A79" s="94">
        <v>37802</v>
      </c>
      <c r="B79" s="212">
        <v>1.93</v>
      </c>
      <c r="C79" s="268">
        <f t="shared" si="0"/>
        <v>600000</v>
      </c>
      <c r="D79" s="256">
        <v>7498.704663212411</v>
      </c>
      <c r="E79" s="256">
        <v>0</v>
      </c>
      <c r="F79" s="256">
        <v>0</v>
      </c>
    </row>
    <row r="80" spans="2:4" ht="12.75">
      <c r="B80" s="71"/>
      <c r="D80" s="37" t="s">
        <v>21</v>
      </c>
    </row>
    <row r="81" spans="1:2" ht="15.75">
      <c r="A81" s="341" t="s">
        <v>197</v>
      </c>
      <c r="B81" s="71"/>
    </row>
    <row r="82" spans="1:2" ht="15.75">
      <c r="A82" s="341" t="s">
        <v>198</v>
      </c>
      <c r="B82" s="71"/>
    </row>
    <row r="83" spans="1:6" ht="12.75">
      <c r="A83" s="124"/>
      <c r="B83" s="71"/>
      <c r="D83" s="85"/>
      <c r="E83" s="85"/>
      <c r="F83" s="120"/>
    </row>
    <row r="84" spans="1:6" ht="12.75">
      <c r="A84" s="81">
        <v>1</v>
      </c>
      <c r="B84" s="82" t="s">
        <v>31</v>
      </c>
      <c r="C84" s="83"/>
      <c r="D84" s="85"/>
      <c r="E84" s="85"/>
      <c r="F84" s="120"/>
    </row>
    <row r="85" spans="1:6" ht="12.75">
      <c r="A85" s="34">
        <v>1</v>
      </c>
      <c r="B85" s="84" t="s">
        <v>156</v>
      </c>
      <c r="C85" s="120"/>
      <c r="D85" s="85"/>
      <c r="E85" s="85"/>
      <c r="F85" s="120"/>
    </row>
    <row r="86" spans="1:6" ht="12.75">
      <c r="A86" s="34">
        <v>1</v>
      </c>
      <c r="B86" s="84" t="s">
        <v>157</v>
      </c>
      <c r="C86" s="120"/>
      <c r="D86" s="85"/>
      <c r="E86" s="85"/>
      <c r="F86" s="120"/>
    </row>
    <row r="87" spans="1:3" ht="12.75">
      <c r="A87" s="34">
        <v>1</v>
      </c>
      <c r="B87" s="84"/>
      <c r="C87" s="120"/>
    </row>
    <row r="88" spans="1:2" ht="12.75">
      <c r="A88" s="34">
        <v>1</v>
      </c>
      <c r="B88" s="71" t="s">
        <v>158</v>
      </c>
    </row>
    <row r="89" spans="1:2" ht="12.75">
      <c r="A89" s="34">
        <v>1</v>
      </c>
      <c r="B89" s="71" t="s">
        <v>159</v>
      </c>
    </row>
    <row r="90" spans="1:8" ht="12.75">
      <c r="A90" s="34">
        <v>1</v>
      </c>
      <c r="B90" s="71" t="s">
        <v>160</v>
      </c>
      <c r="D90" s="35"/>
      <c r="E90" s="35"/>
      <c r="F90" s="35"/>
      <c r="G90" s="35"/>
      <c r="H90" s="35"/>
    </row>
    <row r="91" spans="1:8" ht="12.75">
      <c r="A91" s="34">
        <v>1</v>
      </c>
      <c r="B91" s="71" t="s">
        <v>161</v>
      </c>
      <c r="D91" s="35"/>
      <c r="E91" s="35"/>
      <c r="F91" s="35"/>
      <c r="G91" s="35"/>
      <c r="H91" s="35"/>
    </row>
    <row r="92" spans="1:8" ht="12.75">
      <c r="A92" s="34">
        <v>1</v>
      </c>
      <c r="B92" s="71" t="s">
        <v>162</v>
      </c>
      <c r="D92" s="35"/>
      <c r="E92" s="35"/>
      <c r="F92" s="35"/>
      <c r="G92" s="35"/>
      <c r="H92" s="35"/>
    </row>
    <row r="93" spans="1:8" ht="12.75">
      <c r="A93" s="34">
        <v>1</v>
      </c>
      <c r="B93" s="71" t="s">
        <v>163</v>
      </c>
      <c r="D93" s="35"/>
      <c r="E93" s="35"/>
      <c r="F93" s="35"/>
      <c r="G93" s="35"/>
      <c r="H93" s="35"/>
    </row>
    <row r="94" spans="1:8" ht="12.75">
      <c r="A94" s="34">
        <v>1</v>
      </c>
      <c r="B94" s="71"/>
      <c r="D94" s="35"/>
      <c r="E94" s="35"/>
      <c r="F94" s="35"/>
      <c r="G94" s="35"/>
      <c r="H94" s="35"/>
    </row>
    <row r="95" spans="1:8" ht="12.75">
      <c r="A95" s="34">
        <v>1</v>
      </c>
      <c r="B95" s="71" t="s">
        <v>176</v>
      </c>
      <c r="D95" s="35"/>
      <c r="E95" s="35"/>
      <c r="F95" s="35"/>
      <c r="G95" s="35"/>
      <c r="H95" s="35"/>
    </row>
    <row r="96" spans="1:8" ht="12.75">
      <c r="A96" s="34">
        <v>1</v>
      </c>
      <c r="B96" s="71" t="s">
        <v>177</v>
      </c>
      <c r="D96" s="35"/>
      <c r="E96" s="35"/>
      <c r="F96" s="35"/>
      <c r="G96" s="35"/>
      <c r="H96" s="35"/>
    </row>
    <row r="97" spans="1:8" ht="12.75">
      <c r="A97" s="34">
        <v>1</v>
      </c>
      <c r="B97" s="71" t="s">
        <v>178</v>
      </c>
      <c r="D97" s="35"/>
      <c r="E97" s="35"/>
      <c r="F97" s="35"/>
      <c r="G97" s="35"/>
      <c r="H97" s="35"/>
    </row>
    <row r="98" spans="1:8" ht="12.75">
      <c r="A98" s="34">
        <v>1</v>
      </c>
      <c r="B98" s="71" t="s">
        <v>179</v>
      </c>
      <c r="D98" s="35"/>
      <c r="E98" s="35"/>
      <c r="F98" s="35"/>
      <c r="G98" s="35"/>
      <c r="H98" s="35"/>
    </row>
    <row r="99" spans="1:8" ht="12.75">
      <c r="A99" s="34">
        <v>2</v>
      </c>
      <c r="D99" s="35"/>
      <c r="E99" s="35"/>
      <c r="F99" s="35"/>
      <c r="G99" s="35"/>
      <c r="H99" s="35"/>
    </row>
    <row r="100" spans="1:8" ht="12.75">
      <c r="A100" s="81">
        <v>2</v>
      </c>
      <c r="B100" s="126" t="s">
        <v>31</v>
      </c>
      <c r="C100" s="127"/>
      <c r="D100" s="35"/>
      <c r="E100" s="35"/>
      <c r="F100" s="35"/>
      <c r="G100" s="35"/>
      <c r="H100" s="35"/>
    </row>
    <row r="101" spans="1:8" ht="12.75">
      <c r="A101" s="34">
        <v>2</v>
      </c>
      <c r="B101" s="45"/>
      <c r="C101" s="35"/>
      <c r="D101" s="35"/>
      <c r="E101" s="35"/>
      <c r="F101" s="35"/>
      <c r="G101" s="35"/>
      <c r="H101" s="35"/>
    </row>
    <row r="102" spans="1:8" ht="12.75">
      <c r="A102" s="34">
        <v>2</v>
      </c>
      <c r="B102" s="45" t="s">
        <v>223</v>
      </c>
      <c r="C102" s="35"/>
      <c r="D102" s="35"/>
      <c r="E102" s="35"/>
      <c r="F102" s="35"/>
      <c r="G102" s="35"/>
      <c r="H102" s="35"/>
    </row>
    <row r="103" spans="1:8" ht="12.75">
      <c r="A103" s="34">
        <v>2</v>
      </c>
      <c r="B103" s="96"/>
      <c r="C103" s="35"/>
      <c r="D103" s="35"/>
      <c r="E103" s="35"/>
      <c r="F103" s="35"/>
      <c r="G103" s="35"/>
      <c r="H103" s="35"/>
    </row>
    <row r="104" spans="1:8" ht="12.75">
      <c r="A104" s="34">
        <v>2</v>
      </c>
      <c r="B104" s="71" t="s">
        <v>168</v>
      </c>
      <c r="C104" s="35"/>
      <c r="D104" s="35"/>
      <c r="E104" s="35"/>
      <c r="F104" s="35"/>
      <c r="G104" s="35"/>
      <c r="H104" s="35"/>
    </row>
    <row r="105" spans="1:8" ht="12.75">
      <c r="A105" s="34">
        <v>2</v>
      </c>
      <c r="B105" s="71" t="s">
        <v>164</v>
      </c>
      <c r="C105" s="35"/>
      <c r="D105" s="35"/>
      <c r="E105" s="35"/>
      <c r="F105" s="35"/>
      <c r="G105" s="35"/>
      <c r="H105" s="35"/>
    </row>
    <row r="106" spans="1:8" ht="12.75">
      <c r="A106" s="34">
        <v>2</v>
      </c>
      <c r="B106" s="71" t="s">
        <v>165</v>
      </c>
      <c r="C106" s="35"/>
      <c r="D106" s="35"/>
      <c r="E106" s="35"/>
      <c r="F106" s="35"/>
      <c r="G106" s="35"/>
      <c r="H106" s="35"/>
    </row>
    <row r="107" spans="1:8" ht="12.75">
      <c r="A107" s="34">
        <v>2</v>
      </c>
      <c r="B107" s="71" t="s">
        <v>167</v>
      </c>
      <c r="C107" s="35"/>
      <c r="D107" s="35"/>
      <c r="E107" s="35"/>
      <c r="F107" s="35"/>
      <c r="G107" s="35"/>
      <c r="H107" s="35"/>
    </row>
    <row r="108" spans="1:8" ht="12.75">
      <c r="A108" s="34">
        <v>2</v>
      </c>
      <c r="B108" s="340" t="s">
        <v>166</v>
      </c>
      <c r="C108" s="35"/>
      <c r="D108" s="35"/>
      <c r="E108" s="35"/>
      <c r="F108" s="35"/>
      <c r="G108" s="35"/>
      <c r="H108" s="35"/>
    </row>
    <row r="109" spans="1:8" ht="12.75">
      <c r="A109" s="34">
        <v>2</v>
      </c>
      <c r="B109" s="71" t="s">
        <v>21</v>
      </c>
      <c r="C109" s="35"/>
      <c r="D109" s="35"/>
      <c r="E109" s="35"/>
      <c r="F109" s="35"/>
      <c r="G109" s="35"/>
      <c r="H109" s="35"/>
    </row>
    <row r="110" ht="12.75">
      <c r="A110" s="34">
        <v>3</v>
      </c>
    </row>
    <row r="111" spans="1:3" ht="12.75">
      <c r="A111" s="81">
        <v>3</v>
      </c>
      <c r="B111" s="126" t="s">
        <v>31</v>
      </c>
      <c r="C111" s="83"/>
    </row>
    <row r="112" spans="1:2" ht="12.75">
      <c r="A112" s="34">
        <v>3</v>
      </c>
      <c r="B112" s="35" t="s">
        <v>213</v>
      </c>
    </row>
    <row r="113" spans="1:2" ht="12.75">
      <c r="A113" s="34">
        <v>3</v>
      </c>
      <c r="B113" s="35" t="s">
        <v>214</v>
      </c>
    </row>
    <row r="114" spans="1:2" ht="12.75">
      <c r="A114" s="34">
        <v>3</v>
      </c>
      <c r="B114" s="35" t="s">
        <v>215</v>
      </c>
    </row>
    <row r="115" spans="1:2" ht="12.75">
      <c r="A115" s="34">
        <v>3</v>
      </c>
      <c r="B115" s="35"/>
    </row>
    <row r="116" spans="1:2" ht="12.75">
      <c r="A116" s="34">
        <v>3</v>
      </c>
      <c r="B116" s="71" t="s">
        <v>200</v>
      </c>
    </row>
    <row r="117" spans="1:2" ht="12.75">
      <c r="A117" s="34">
        <v>3</v>
      </c>
      <c r="B117" s="71" t="s">
        <v>180</v>
      </c>
    </row>
    <row r="118" spans="1:2" ht="12.75">
      <c r="A118" s="34">
        <v>3</v>
      </c>
      <c r="B118" s="71" t="s">
        <v>216</v>
      </c>
    </row>
    <row r="119" spans="1:2" ht="12.75">
      <c r="A119" s="34">
        <v>3</v>
      </c>
      <c r="B119" s="71"/>
    </row>
    <row r="120" spans="1:2" ht="12.75">
      <c r="A120" s="34">
        <v>3</v>
      </c>
      <c r="B120" s="71" t="s">
        <v>217</v>
      </c>
    </row>
    <row r="121" spans="1:2" ht="12.75">
      <c r="A121" s="34">
        <v>3</v>
      </c>
      <c r="B121" s="71" t="s">
        <v>221</v>
      </c>
    </row>
    <row r="122" spans="1:2" ht="12.75">
      <c r="A122" s="34">
        <v>3</v>
      </c>
      <c r="B122" s="71" t="s">
        <v>222</v>
      </c>
    </row>
    <row r="123" spans="1:2" ht="12.75">
      <c r="A123" s="34">
        <v>3</v>
      </c>
      <c r="B123" s="71"/>
    </row>
    <row r="124" spans="1:2" ht="12.75">
      <c r="A124" s="34">
        <v>3</v>
      </c>
      <c r="B124" s="71" t="s">
        <v>218</v>
      </c>
    </row>
    <row r="125" spans="1:2" ht="12.75">
      <c r="A125" s="34">
        <v>3</v>
      </c>
      <c r="B125" s="71" t="s">
        <v>219</v>
      </c>
    </row>
    <row r="126" spans="1:2" ht="12.75">
      <c r="A126" s="34">
        <v>3</v>
      </c>
      <c r="B126" s="71" t="s">
        <v>220</v>
      </c>
    </row>
    <row r="127" spans="1:2" ht="12.75">
      <c r="A127" s="34">
        <v>4</v>
      </c>
      <c r="B127" s="71"/>
    </row>
    <row r="128" spans="1:3" ht="12.75">
      <c r="A128" s="81">
        <v>4</v>
      </c>
      <c r="B128" s="82" t="s">
        <v>31</v>
      </c>
      <c r="C128" s="83"/>
    </row>
    <row r="129" spans="1:2" ht="12.75">
      <c r="A129" s="34">
        <v>4</v>
      </c>
      <c r="B129" s="128" t="s">
        <v>169</v>
      </c>
    </row>
    <row r="130" spans="1:2" ht="12.75">
      <c r="A130" s="34">
        <v>4</v>
      </c>
      <c r="B130" s="128" t="s">
        <v>212</v>
      </c>
    </row>
    <row r="131" spans="1:2" ht="12.75">
      <c r="A131" s="34">
        <v>4</v>
      </c>
      <c r="B131" s="128" t="s">
        <v>256</v>
      </c>
    </row>
    <row r="132" spans="1:2" ht="12.75">
      <c r="A132" s="34">
        <v>4</v>
      </c>
      <c r="B132" s="128"/>
    </row>
    <row r="133" spans="1:2" ht="12.75">
      <c r="A133" s="34">
        <v>4</v>
      </c>
      <c r="B133" s="128" t="s">
        <v>211</v>
      </c>
    </row>
    <row r="134" spans="1:2" ht="12.75">
      <c r="A134" s="34">
        <v>4</v>
      </c>
      <c r="B134" s="128" t="s">
        <v>210</v>
      </c>
    </row>
    <row r="135" spans="1:2" ht="12.75">
      <c r="A135" s="34">
        <v>4</v>
      </c>
      <c r="B135" s="129" t="s">
        <v>21</v>
      </c>
    </row>
    <row r="136" spans="1:2" ht="12.75">
      <c r="A136" s="34">
        <v>4</v>
      </c>
      <c r="B136" s="130" t="s">
        <v>170</v>
      </c>
    </row>
    <row r="137" spans="1:2" ht="12.75">
      <c r="A137" s="34">
        <v>4</v>
      </c>
      <c r="B137" s="130" t="s">
        <v>171</v>
      </c>
    </row>
    <row r="138" spans="1:2" ht="12.75">
      <c r="A138" s="34">
        <v>4</v>
      </c>
      <c r="B138" s="130" t="s">
        <v>172</v>
      </c>
    </row>
    <row r="139" spans="1:2" ht="12.75">
      <c r="A139" s="34">
        <v>4</v>
      </c>
      <c r="B139" s="130" t="s">
        <v>249</v>
      </c>
    </row>
    <row r="140" spans="1:2" ht="12.75">
      <c r="A140" s="34">
        <v>4</v>
      </c>
      <c r="B140" s="130" t="s">
        <v>250</v>
      </c>
    </row>
    <row r="141" spans="1:2" ht="12.75">
      <c r="A141" s="34">
        <v>4</v>
      </c>
      <c r="B141" s="130" t="s">
        <v>251</v>
      </c>
    </row>
    <row r="142" spans="1:2" ht="12.75">
      <c r="A142" s="34">
        <v>4</v>
      </c>
      <c r="B142" s="130"/>
    </row>
    <row r="143" spans="1:2" ht="12.75">
      <c r="A143" s="34">
        <v>4</v>
      </c>
      <c r="B143" s="130" t="s">
        <v>234</v>
      </c>
    </row>
    <row r="144" spans="1:2" ht="12.75">
      <c r="A144" s="34">
        <v>4</v>
      </c>
      <c r="B144" s="130" t="s">
        <v>268</v>
      </c>
    </row>
    <row r="145" spans="1:2" ht="12.75">
      <c r="A145" s="34">
        <v>4</v>
      </c>
      <c r="B145" s="130"/>
    </row>
    <row r="146" spans="1:2" ht="12.75">
      <c r="A146" s="34">
        <v>4</v>
      </c>
      <c r="B146" s="130"/>
    </row>
    <row r="147" spans="1:15" ht="12.75">
      <c r="A147" s="34">
        <v>4</v>
      </c>
      <c r="C147" s="39"/>
      <c r="D147" s="39"/>
      <c r="E147" s="39"/>
      <c r="H147" s="46" t="s">
        <v>248</v>
      </c>
      <c r="I147" s="46" t="s">
        <v>284</v>
      </c>
      <c r="J147" s="46" t="s">
        <v>21</v>
      </c>
      <c r="K147" s="46" t="s">
        <v>21</v>
      </c>
      <c r="L147" s="329"/>
      <c r="N147" s="39"/>
      <c r="O147" s="39"/>
    </row>
    <row r="148" spans="1:15" ht="12.75">
      <c r="A148" s="34">
        <v>4</v>
      </c>
      <c r="B148" s="39"/>
      <c r="C148" s="39"/>
      <c r="D148" s="39"/>
      <c r="E148" s="39"/>
      <c r="F148" s="39"/>
      <c r="H148" s="309">
        <v>0.12</v>
      </c>
      <c r="I148" s="305">
        <v>0.12</v>
      </c>
      <c r="J148" s="365">
        <v>0.12</v>
      </c>
      <c r="K148" s="365">
        <v>0.12</v>
      </c>
      <c r="L148" s="370" t="s">
        <v>285</v>
      </c>
      <c r="N148" s="39"/>
      <c r="O148" s="39"/>
    </row>
    <row r="149" spans="1:15" ht="15.75">
      <c r="A149" s="34">
        <v>4</v>
      </c>
      <c r="B149" s="100"/>
      <c r="C149" s="15" t="s">
        <v>63</v>
      </c>
      <c r="D149" s="269" t="s">
        <v>36</v>
      </c>
      <c r="E149" s="269" t="s">
        <v>37</v>
      </c>
      <c r="F149" s="269" t="s">
        <v>19</v>
      </c>
      <c r="G149" s="273" t="s">
        <v>239</v>
      </c>
      <c r="H149" s="306" t="s">
        <v>286</v>
      </c>
      <c r="I149" s="306" t="s">
        <v>263</v>
      </c>
      <c r="J149" s="306" t="s">
        <v>151</v>
      </c>
      <c r="K149" s="306" t="s">
        <v>152</v>
      </c>
      <c r="L149" s="372" t="s">
        <v>287</v>
      </c>
      <c r="N149" s="39"/>
      <c r="O149" s="39"/>
    </row>
    <row r="150" spans="1:15" ht="15.75">
      <c r="A150" s="34">
        <v>4</v>
      </c>
      <c r="B150" s="101"/>
      <c r="C150" s="18" t="s">
        <v>94</v>
      </c>
      <c r="D150" s="270" t="s">
        <v>24</v>
      </c>
      <c r="E150" s="270" t="s">
        <v>24</v>
      </c>
      <c r="F150" s="270" t="s">
        <v>24</v>
      </c>
      <c r="G150" s="272" t="s">
        <v>240</v>
      </c>
      <c r="H150" s="356">
        <v>0.1027</v>
      </c>
      <c r="I150" s="356" t="s">
        <v>5</v>
      </c>
      <c r="J150" s="306" t="s">
        <v>149</v>
      </c>
      <c r="K150" s="306" t="s">
        <v>149</v>
      </c>
      <c r="L150" s="274" t="s">
        <v>37</v>
      </c>
      <c r="N150" s="39"/>
      <c r="O150" s="39"/>
    </row>
    <row r="151" spans="1:15" ht="15.75">
      <c r="A151" s="34">
        <v>4</v>
      </c>
      <c r="B151" s="21" t="s">
        <v>20</v>
      </c>
      <c r="C151" s="22" t="s">
        <v>26</v>
      </c>
      <c r="D151" s="271" t="s">
        <v>123</v>
      </c>
      <c r="E151" s="271" t="s">
        <v>123</v>
      </c>
      <c r="F151" s="271" t="s">
        <v>123</v>
      </c>
      <c r="G151" s="275" t="s">
        <v>241</v>
      </c>
      <c r="H151" s="307" t="s">
        <v>236</v>
      </c>
      <c r="I151" s="307" t="s">
        <v>236</v>
      </c>
      <c r="J151" s="307" t="s">
        <v>150</v>
      </c>
      <c r="K151" s="307" t="s">
        <v>150</v>
      </c>
      <c r="L151" s="276" t="s">
        <v>40</v>
      </c>
      <c r="N151" s="39"/>
      <c r="O151" s="39"/>
    </row>
    <row r="152" spans="1:15" ht="12.75">
      <c r="A152" s="34">
        <v>4</v>
      </c>
      <c r="B152" s="153">
        <v>37073</v>
      </c>
      <c r="C152" s="205">
        <v>2</v>
      </c>
      <c r="D152" s="261" t="s">
        <v>21</v>
      </c>
      <c r="E152" s="205" t="s">
        <v>21</v>
      </c>
      <c r="F152" s="249" t="s">
        <v>21</v>
      </c>
      <c r="G152" s="249" t="s">
        <v>21</v>
      </c>
      <c r="H152" s="249" t="s">
        <v>21</v>
      </c>
      <c r="I152" s="249" t="s">
        <v>21</v>
      </c>
      <c r="J152" s="249" t="s">
        <v>21</v>
      </c>
      <c r="K152" s="249" t="s">
        <v>21</v>
      </c>
      <c r="L152" s="249" t="s">
        <v>21</v>
      </c>
      <c r="N152" s="39"/>
      <c r="O152" s="39"/>
    </row>
    <row r="153" spans="1:15" ht="12.75">
      <c r="A153" s="34">
        <v>4</v>
      </c>
      <c r="B153" s="93">
        <v>37164</v>
      </c>
      <c r="C153" s="206">
        <v>2.0225</v>
      </c>
      <c r="D153" s="322">
        <v>90000</v>
      </c>
      <c r="E153" s="262">
        <v>510000</v>
      </c>
      <c r="F153" s="314">
        <v>600000</v>
      </c>
      <c r="G153" s="333">
        <v>0.102</v>
      </c>
      <c r="H153" s="250">
        <v>252163.16440049442</v>
      </c>
      <c r="I153" s="250">
        <v>252163.16440049445</v>
      </c>
      <c r="J153" s="250">
        <v>0</v>
      </c>
      <c r="K153" s="250">
        <v>44499.38195302844</v>
      </c>
      <c r="L153" s="250">
        <v>44499.38195302844</v>
      </c>
      <c r="N153" s="39"/>
      <c r="O153" s="39"/>
    </row>
    <row r="154" spans="1:15" ht="12.75">
      <c r="A154" s="34">
        <v>4</v>
      </c>
      <c r="B154" s="154">
        <v>37256</v>
      </c>
      <c r="C154" s="207">
        <v>2.015</v>
      </c>
      <c r="D154" s="323">
        <v>90000</v>
      </c>
      <c r="E154" s="263">
        <v>510000</v>
      </c>
      <c r="F154" s="315">
        <v>600000</v>
      </c>
      <c r="G154" s="334">
        <v>0.102</v>
      </c>
      <c r="H154" s="251">
        <v>253101.73697270468</v>
      </c>
      <c r="I154" s="251">
        <v>253101.7369727047</v>
      </c>
      <c r="J154" s="251">
        <v>0</v>
      </c>
      <c r="K154" s="251">
        <v>44665.012406947935</v>
      </c>
      <c r="L154" s="251">
        <v>44665.012406947935</v>
      </c>
      <c r="N154" s="39"/>
      <c r="O154" s="39"/>
    </row>
    <row r="155" spans="1:15" ht="12.75">
      <c r="A155" s="34">
        <v>4</v>
      </c>
      <c r="B155" s="89">
        <v>37346</v>
      </c>
      <c r="C155" s="208">
        <v>1.9875</v>
      </c>
      <c r="D155" s="324">
        <v>90000</v>
      </c>
      <c r="E155" s="264">
        <v>510000</v>
      </c>
      <c r="F155" s="316">
        <v>600000</v>
      </c>
      <c r="G155" s="335">
        <v>0.102</v>
      </c>
      <c r="H155" s="252">
        <v>256603.77358490563</v>
      </c>
      <c r="I155" s="252">
        <v>256603.77358490566</v>
      </c>
      <c r="J155" s="252">
        <v>0</v>
      </c>
      <c r="K155" s="252">
        <v>45283.01886792455</v>
      </c>
      <c r="L155" s="252">
        <v>45283.01886792455</v>
      </c>
      <c r="N155" s="39"/>
      <c r="O155" s="39"/>
    </row>
    <row r="156" spans="1:15" ht="12.75">
      <c r="A156" s="34">
        <v>4</v>
      </c>
      <c r="B156" s="90">
        <v>37437</v>
      </c>
      <c r="C156" s="209">
        <v>1.975</v>
      </c>
      <c r="D156" s="325">
        <v>90000</v>
      </c>
      <c r="E156" s="265">
        <v>510000</v>
      </c>
      <c r="F156" s="317">
        <v>600000</v>
      </c>
      <c r="G156" s="336">
        <v>0.102</v>
      </c>
      <c r="H156" s="253">
        <v>258227.8481012658</v>
      </c>
      <c r="I156" s="253">
        <v>258227.84810126582</v>
      </c>
      <c r="J156" s="253">
        <v>0</v>
      </c>
      <c r="K156" s="253">
        <v>45569.620253164554</v>
      </c>
      <c r="L156" s="253">
        <v>45569.620253164554</v>
      </c>
      <c r="N156" s="39"/>
      <c r="O156" s="39"/>
    </row>
    <row r="157" spans="1:15" ht="12.75">
      <c r="A157" s="34">
        <v>4</v>
      </c>
      <c r="B157" s="91">
        <v>37529</v>
      </c>
      <c r="C157" s="210">
        <v>1.9685</v>
      </c>
      <c r="D157" s="326">
        <v>90000</v>
      </c>
      <c r="E157" s="266">
        <v>510000</v>
      </c>
      <c r="F157" s="318">
        <v>600000</v>
      </c>
      <c r="G157" s="337">
        <v>0.102</v>
      </c>
      <c r="H157" s="254">
        <v>259080.5181610363</v>
      </c>
      <c r="I157" s="254">
        <v>259080.51816103634</v>
      </c>
      <c r="J157" s="254">
        <v>0</v>
      </c>
      <c r="K157" s="254">
        <v>45720.091440182936</v>
      </c>
      <c r="L157" s="254">
        <v>45720.091440182936</v>
      </c>
      <c r="N157" s="39"/>
      <c r="O157" s="39"/>
    </row>
    <row r="158" spans="1:15" ht="12.75">
      <c r="A158" s="34">
        <v>4</v>
      </c>
      <c r="B158" s="92">
        <v>37621</v>
      </c>
      <c r="C158" s="211">
        <v>1.948</v>
      </c>
      <c r="D158" s="327">
        <v>90000</v>
      </c>
      <c r="E158" s="267">
        <v>510000</v>
      </c>
      <c r="F158" s="319">
        <v>600000</v>
      </c>
      <c r="G158" s="338">
        <v>0.102</v>
      </c>
      <c r="H158" s="255">
        <v>261806.98151950716</v>
      </c>
      <c r="I158" s="255">
        <v>261806.9815195072</v>
      </c>
      <c r="J158" s="255">
        <v>0</v>
      </c>
      <c r="K158" s="255">
        <v>46201.232032854256</v>
      </c>
      <c r="L158" s="255">
        <v>46201.232032854256</v>
      </c>
      <c r="N158" s="39"/>
      <c r="O158" s="39"/>
    </row>
    <row r="159" spans="1:15" ht="12.75">
      <c r="A159" s="34">
        <v>4</v>
      </c>
      <c r="B159" s="93">
        <v>37711</v>
      </c>
      <c r="C159" s="206">
        <v>1.9325</v>
      </c>
      <c r="D159" s="322">
        <v>90000</v>
      </c>
      <c r="E159" s="262">
        <v>510000</v>
      </c>
      <c r="F159" s="314">
        <v>600000</v>
      </c>
      <c r="G159" s="333">
        <v>0.102</v>
      </c>
      <c r="H159" s="250">
        <v>263906.8564036222</v>
      </c>
      <c r="I159" s="250">
        <v>263906.85640362225</v>
      </c>
      <c r="J159" s="250">
        <v>0</v>
      </c>
      <c r="K159" s="250">
        <v>46571.798188874556</v>
      </c>
      <c r="L159" s="250">
        <v>46571.798188874556</v>
      </c>
      <c r="N159" s="39"/>
      <c r="O159" s="39"/>
    </row>
    <row r="160" spans="1:15" ht="12.75">
      <c r="A160" s="34">
        <v>4</v>
      </c>
      <c r="B160" s="94">
        <v>37802</v>
      </c>
      <c r="C160" s="212">
        <v>1.93</v>
      </c>
      <c r="D160" s="328">
        <v>90000</v>
      </c>
      <c r="E160" s="268">
        <v>510000</v>
      </c>
      <c r="F160" s="320">
        <v>600000</v>
      </c>
      <c r="G160" s="339">
        <v>0.102</v>
      </c>
      <c r="H160" s="256">
        <v>264248.7046632124</v>
      </c>
      <c r="I160" s="256">
        <v>264248.70466321247</v>
      </c>
      <c r="J160" s="256">
        <v>0</v>
      </c>
      <c r="K160" s="256">
        <v>46632.12435233162</v>
      </c>
      <c r="L160" s="256">
        <v>46632.12435233162</v>
      </c>
      <c r="N160" s="39"/>
      <c r="O160" s="39"/>
    </row>
    <row r="161" spans="1:15" ht="15.75">
      <c r="A161" s="34">
        <v>4</v>
      </c>
      <c r="D161" s="294" t="s">
        <v>21</v>
      </c>
      <c r="E161" s="39"/>
      <c r="F161" s="355" t="s">
        <v>21</v>
      </c>
      <c r="G161" s="321" t="s">
        <v>21</v>
      </c>
      <c r="H161" s="321">
        <v>2069139.5838067485</v>
      </c>
      <c r="I161" s="321">
        <v>2069139.583806749</v>
      </c>
      <c r="J161" s="321">
        <v>0</v>
      </c>
      <c r="K161" s="321">
        <v>365142.2794953088</v>
      </c>
      <c r="L161" s="321">
        <v>365142.2794953088</v>
      </c>
      <c r="N161" s="39"/>
      <c r="O161" s="39"/>
    </row>
    <row r="162" spans="1:15" ht="15.75">
      <c r="A162" s="34">
        <v>4</v>
      </c>
      <c r="B162" s="39"/>
      <c r="C162" s="39"/>
      <c r="D162" s="39"/>
      <c r="E162" s="39"/>
      <c r="F162" s="39"/>
      <c r="G162" s="39"/>
      <c r="H162" s="71" t="s">
        <v>21</v>
      </c>
      <c r="I162" s="39"/>
      <c r="J162" s="105" t="s">
        <v>21</v>
      </c>
      <c r="K162" s="39"/>
      <c r="L162" s="373" t="s">
        <v>21</v>
      </c>
      <c r="M162" s="39"/>
      <c r="N162" s="39"/>
      <c r="O162" s="39"/>
    </row>
    <row r="163" spans="1:15" ht="12.75">
      <c r="A163" s="34">
        <v>4</v>
      </c>
      <c r="B163" s="330"/>
      <c r="C163" s="330"/>
      <c r="D163" s="46" t="s">
        <v>238</v>
      </c>
      <c r="E163" s="308" t="s">
        <v>148</v>
      </c>
      <c r="F163" s="332" t="s">
        <v>244</v>
      </c>
      <c r="G163" s="332">
        <v>0.12</v>
      </c>
      <c r="H163" s="330"/>
      <c r="I163" s="367">
        <v>0.12</v>
      </c>
      <c r="J163" s="46" t="s">
        <v>284</v>
      </c>
      <c r="K163" s="352"/>
      <c r="L163" s="353"/>
      <c r="M163" s="354"/>
      <c r="N163" s="330"/>
      <c r="O163" s="39"/>
    </row>
    <row r="164" spans="1:15" ht="15.75">
      <c r="A164" s="34">
        <v>4</v>
      </c>
      <c r="B164" s="331"/>
      <c r="C164" s="331"/>
      <c r="D164" s="365">
        <v>0.12</v>
      </c>
      <c r="E164" s="306" t="s">
        <v>259</v>
      </c>
      <c r="F164" s="305" t="s">
        <v>242</v>
      </c>
      <c r="G164" s="305" t="s">
        <v>155</v>
      </c>
      <c r="H164" s="47" t="s">
        <v>229</v>
      </c>
      <c r="I164" s="305" t="s">
        <v>62</v>
      </c>
      <c r="J164" s="365">
        <v>0.12</v>
      </c>
      <c r="K164" s="368">
        <v>0</v>
      </c>
      <c r="L164" s="369">
        <v>0.102</v>
      </c>
      <c r="M164" s="370">
        <v>0.12</v>
      </c>
      <c r="N164" s="370" t="s">
        <v>285</v>
      </c>
      <c r="O164" s="39"/>
    </row>
    <row r="165" spans="1:15" ht="15.75">
      <c r="A165" s="34">
        <v>4</v>
      </c>
      <c r="B165" s="101"/>
      <c r="C165" s="18" t="s">
        <v>63</v>
      </c>
      <c r="D165" s="306" t="s">
        <v>235</v>
      </c>
      <c r="E165" s="306" t="s">
        <v>235</v>
      </c>
      <c r="F165" s="366">
        <v>0.102</v>
      </c>
      <c r="G165" s="306" t="s">
        <v>151</v>
      </c>
      <c r="H165" s="19" t="s">
        <v>42</v>
      </c>
      <c r="I165" s="306" t="s">
        <v>153</v>
      </c>
      <c r="J165" s="306" t="s">
        <v>235</v>
      </c>
      <c r="K165" s="306" t="s">
        <v>173</v>
      </c>
      <c r="L165" s="274" t="s">
        <v>40</v>
      </c>
      <c r="M165" s="274" t="s">
        <v>40</v>
      </c>
      <c r="N165" s="372" t="s">
        <v>287</v>
      </c>
      <c r="O165" s="39"/>
    </row>
    <row r="166" spans="1:15" ht="15.75">
      <c r="A166" s="34">
        <v>4</v>
      </c>
      <c r="B166" s="101"/>
      <c r="C166" s="18" t="s">
        <v>94</v>
      </c>
      <c r="D166" s="366">
        <v>0.102</v>
      </c>
      <c r="E166" s="366">
        <v>0.12</v>
      </c>
      <c r="F166" s="306" t="s">
        <v>243</v>
      </c>
      <c r="G166" s="306" t="s">
        <v>149</v>
      </c>
      <c r="H166" s="19" t="s">
        <v>30</v>
      </c>
      <c r="I166" s="306" t="s">
        <v>149</v>
      </c>
      <c r="J166" s="366">
        <v>0.102</v>
      </c>
      <c r="K166" s="306" t="s">
        <v>174</v>
      </c>
      <c r="L166" s="274" t="s">
        <v>233</v>
      </c>
      <c r="M166" s="274" t="s">
        <v>233</v>
      </c>
      <c r="N166" s="274" t="s">
        <v>37</v>
      </c>
      <c r="O166" s="39"/>
    </row>
    <row r="167" spans="1:15" ht="15.75">
      <c r="A167" s="34">
        <v>4</v>
      </c>
      <c r="B167" s="21" t="s">
        <v>20</v>
      </c>
      <c r="C167" s="22" t="s">
        <v>26</v>
      </c>
      <c r="D167" s="307" t="s">
        <v>236</v>
      </c>
      <c r="E167" s="307" t="s">
        <v>236</v>
      </c>
      <c r="F167" s="357">
        <v>0.12</v>
      </c>
      <c r="G167" s="307" t="s">
        <v>154</v>
      </c>
      <c r="H167" s="21" t="s">
        <v>25</v>
      </c>
      <c r="I167" s="307" t="s">
        <v>150</v>
      </c>
      <c r="J167" s="307" t="s">
        <v>236</v>
      </c>
      <c r="K167" s="307" t="s">
        <v>5</v>
      </c>
      <c r="L167" s="276" t="s">
        <v>5</v>
      </c>
      <c r="M167" s="276" t="s">
        <v>260</v>
      </c>
      <c r="N167" s="276" t="s">
        <v>40</v>
      </c>
      <c r="O167" s="39"/>
    </row>
    <row r="168" spans="1:15" ht="12.75">
      <c r="A168" s="34">
        <v>4</v>
      </c>
      <c r="B168" s="95">
        <v>37073</v>
      </c>
      <c r="C168" s="205">
        <v>2</v>
      </c>
      <c r="D168" s="249" t="s">
        <v>21</v>
      </c>
      <c r="E168" s="205" t="s">
        <v>21</v>
      </c>
      <c r="F168" s="249" t="s">
        <v>21</v>
      </c>
      <c r="G168" s="249" t="s">
        <v>21</v>
      </c>
      <c r="H168" s="249">
        <v>0</v>
      </c>
      <c r="I168" s="249" t="s">
        <v>21</v>
      </c>
      <c r="J168" s="249" t="s">
        <v>21</v>
      </c>
      <c r="K168" s="249" t="s">
        <v>21</v>
      </c>
      <c r="L168" s="249" t="s">
        <v>21</v>
      </c>
      <c r="M168" s="249" t="s">
        <v>21</v>
      </c>
      <c r="N168" s="249"/>
      <c r="O168" s="39"/>
    </row>
    <row r="169" spans="1:15" ht="12.75">
      <c r="A169" s="34">
        <v>4</v>
      </c>
      <c r="B169" s="93">
        <v>37164</v>
      </c>
      <c r="C169" s="206">
        <v>2.0225</v>
      </c>
      <c r="D169" s="358">
        <v>0.102</v>
      </c>
      <c r="E169" s="358">
        <v>0.12</v>
      </c>
      <c r="F169" s="358">
        <v>0</v>
      </c>
      <c r="G169" s="333">
        <v>0</v>
      </c>
      <c r="H169" s="250">
        <v>-3890.9935734162277</v>
      </c>
      <c r="I169" s="250">
        <v>0</v>
      </c>
      <c r="J169" s="250">
        <v>296662.54635352286</v>
      </c>
      <c r="K169" s="250">
        <v>296662.54635352286</v>
      </c>
      <c r="L169" s="250">
        <v>-4586.835599505575</v>
      </c>
      <c r="M169" s="250">
        <v>39912.54635352286</v>
      </c>
      <c r="N169" s="250">
        <v>44499.38195302844</v>
      </c>
      <c r="O169" s="39"/>
    </row>
    <row r="170" spans="1:15" ht="12.75">
      <c r="A170" s="34">
        <v>4</v>
      </c>
      <c r="B170" s="154">
        <v>37256</v>
      </c>
      <c r="C170" s="207">
        <v>2.015</v>
      </c>
      <c r="D170" s="359">
        <v>0.102</v>
      </c>
      <c r="E170" s="359">
        <v>0.12</v>
      </c>
      <c r="F170" s="359">
        <v>0</v>
      </c>
      <c r="G170" s="334">
        <v>0</v>
      </c>
      <c r="H170" s="251">
        <v>8886.526734624706</v>
      </c>
      <c r="I170" s="251">
        <v>0</v>
      </c>
      <c r="J170" s="251">
        <v>297766.7493796526</v>
      </c>
      <c r="K170" s="251">
        <v>297766.7493796526</v>
      </c>
      <c r="L170" s="251">
        <v>-3648.2630272953247</v>
      </c>
      <c r="M170" s="251">
        <v>41016.74937965261</v>
      </c>
      <c r="N170" s="251">
        <v>44665.012406947935</v>
      </c>
      <c r="O170" s="39"/>
    </row>
    <row r="171" spans="1:15" ht="12.75">
      <c r="A171" s="34">
        <v>4</v>
      </c>
      <c r="B171" s="89">
        <v>37346</v>
      </c>
      <c r="C171" s="208">
        <v>1.9875</v>
      </c>
      <c r="D171" s="360">
        <v>0.102</v>
      </c>
      <c r="E171" s="360">
        <v>0.12</v>
      </c>
      <c r="F171" s="360">
        <v>0</v>
      </c>
      <c r="G171" s="335">
        <v>0</v>
      </c>
      <c r="H171" s="252">
        <v>976.1348258618291</v>
      </c>
      <c r="I171" s="252">
        <v>0</v>
      </c>
      <c r="J171" s="252">
        <v>301886.7924528302</v>
      </c>
      <c r="K171" s="252">
        <v>301886.7924528302</v>
      </c>
      <c r="L171" s="252">
        <v>-146.22641509436653</v>
      </c>
      <c r="M171" s="252">
        <v>45136.79245283018</v>
      </c>
      <c r="N171" s="252">
        <v>45283.01886792455</v>
      </c>
      <c r="O171" s="39"/>
    </row>
    <row r="172" spans="1:15" ht="12.75">
      <c r="A172" s="34">
        <v>4</v>
      </c>
      <c r="B172" s="90">
        <v>37437</v>
      </c>
      <c r="C172" s="209">
        <v>1.975</v>
      </c>
      <c r="D172" s="361">
        <v>0.102</v>
      </c>
      <c r="E172" s="361">
        <v>0.12</v>
      </c>
      <c r="F172" s="361">
        <v>0</v>
      </c>
      <c r="G172" s="336">
        <v>0</v>
      </c>
      <c r="H172" s="253">
        <v>3798.6173563034436</v>
      </c>
      <c r="I172" s="253">
        <v>0</v>
      </c>
      <c r="J172" s="253">
        <v>303797.46835443034</v>
      </c>
      <c r="K172" s="253">
        <v>303797.46835443034</v>
      </c>
      <c r="L172" s="253">
        <v>1477.8481012657867</v>
      </c>
      <c r="M172" s="253">
        <v>47047.46835443034</v>
      </c>
      <c r="N172" s="253">
        <v>45569.620253164554</v>
      </c>
      <c r="O172" s="39"/>
    </row>
    <row r="173" spans="1:15" ht="12.75">
      <c r="A173" s="34">
        <v>4</v>
      </c>
      <c r="B173" s="91">
        <v>37529</v>
      </c>
      <c r="C173" s="210">
        <v>1.9685</v>
      </c>
      <c r="D173" s="362">
        <v>0.102</v>
      </c>
      <c r="E173" s="362">
        <v>0.12</v>
      </c>
      <c r="F173" s="362">
        <v>0</v>
      </c>
      <c r="G173" s="337">
        <v>0</v>
      </c>
      <c r="H173" s="254">
        <v>4020.410275173408</v>
      </c>
      <c r="I173" s="254">
        <v>0</v>
      </c>
      <c r="J173" s="254">
        <v>304800.60960121924</v>
      </c>
      <c r="K173" s="254">
        <v>304800.60960121924</v>
      </c>
      <c r="L173" s="254">
        <v>2330.518161036307</v>
      </c>
      <c r="M173" s="254">
        <v>48050.60960121924</v>
      </c>
      <c r="N173" s="254">
        <v>45720.091440182936</v>
      </c>
      <c r="O173" s="39"/>
    </row>
    <row r="174" spans="1:15" ht="12.75">
      <c r="A174" s="34">
        <v>4</v>
      </c>
      <c r="B174" s="92">
        <v>37621</v>
      </c>
      <c r="C174" s="211">
        <v>1.948</v>
      </c>
      <c r="D174" s="363">
        <v>0.102</v>
      </c>
      <c r="E174" s="363">
        <v>0.12</v>
      </c>
      <c r="F174" s="363">
        <v>0</v>
      </c>
      <c r="G174" s="338">
        <v>0</v>
      </c>
      <c r="H174" s="255">
        <v>-2054.102628742059</v>
      </c>
      <c r="I174" s="255">
        <v>0</v>
      </c>
      <c r="J174" s="255">
        <v>308008.2135523614</v>
      </c>
      <c r="K174" s="255">
        <v>308008.2135523614</v>
      </c>
      <c r="L174" s="255">
        <v>5056.981519507157</v>
      </c>
      <c r="M174" s="255">
        <v>51258.21355236141</v>
      </c>
      <c r="N174" s="255">
        <v>46201.232032854256</v>
      </c>
      <c r="O174" s="39"/>
    </row>
    <row r="175" spans="1:15" ht="12.75">
      <c r="A175" s="34">
        <v>4</v>
      </c>
      <c r="B175" s="93">
        <v>37711</v>
      </c>
      <c r="C175" s="206">
        <v>1.9325</v>
      </c>
      <c r="D175" s="358">
        <v>0.102</v>
      </c>
      <c r="E175" s="358">
        <v>0.12</v>
      </c>
      <c r="F175" s="358">
        <v>0</v>
      </c>
      <c r="G175" s="333">
        <v>0</v>
      </c>
      <c r="H175" s="250">
        <v>-4090.1379057330296</v>
      </c>
      <c r="I175" s="250">
        <v>0</v>
      </c>
      <c r="J175" s="250">
        <v>310478.65459249675</v>
      </c>
      <c r="K175" s="250">
        <v>310478.65459249675</v>
      </c>
      <c r="L175" s="250">
        <v>7156.856403622194</v>
      </c>
      <c r="M175" s="250">
        <v>53728.65459249675</v>
      </c>
      <c r="N175" s="250">
        <v>46571.798188874556</v>
      </c>
      <c r="O175" s="39"/>
    </row>
    <row r="176" spans="1:15" ht="12.75">
      <c r="A176" s="34">
        <v>4</v>
      </c>
      <c r="B176" s="94">
        <v>37802</v>
      </c>
      <c r="C176" s="212">
        <v>1.93</v>
      </c>
      <c r="D176" s="364">
        <v>0.102</v>
      </c>
      <c r="E176" s="364">
        <v>0.12</v>
      </c>
      <c r="F176" s="364">
        <v>0</v>
      </c>
      <c r="G176" s="339">
        <v>0</v>
      </c>
      <c r="H176" s="256">
        <v>-7646.45508407207</v>
      </c>
      <c r="I176" s="256">
        <v>0</v>
      </c>
      <c r="J176" s="256">
        <v>310880.82901554403</v>
      </c>
      <c r="K176" s="256">
        <v>310880.82901554403</v>
      </c>
      <c r="L176" s="256">
        <v>7498.704663212411</v>
      </c>
      <c r="M176" s="256">
        <v>54130.82901554403</v>
      </c>
      <c r="N176" s="256">
        <v>46632.12435233162</v>
      </c>
      <c r="O176" s="39"/>
    </row>
    <row r="177" spans="1:15" ht="15.75">
      <c r="A177" s="34">
        <v>4</v>
      </c>
      <c r="B177" s="39"/>
      <c r="C177" s="39"/>
      <c r="D177" s="39"/>
      <c r="E177" s="39"/>
      <c r="F177" s="39"/>
      <c r="G177" s="39"/>
      <c r="H177" s="39"/>
      <c r="I177" s="350" t="s">
        <v>228</v>
      </c>
      <c r="J177" s="321">
        <v>2434281.863302057</v>
      </c>
      <c r="K177" s="321">
        <v>2434281.863302057</v>
      </c>
      <c r="L177" s="321">
        <v>15139.58380674859</v>
      </c>
      <c r="M177" s="321">
        <v>380281.86330205743</v>
      </c>
      <c r="N177" s="321">
        <v>365142.2794953088</v>
      </c>
      <c r="O177" s="39"/>
    </row>
    <row r="178" spans="1:15" ht="16.5" thickBot="1">
      <c r="A178" s="34">
        <v>4</v>
      </c>
      <c r="B178" s="39" t="s">
        <v>21</v>
      </c>
      <c r="C178" s="39"/>
      <c r="D178" s="39"/>
      <c r="E178" s="39"/>
      <c r="F178" s="39"/>
      <c r="G178" s="39"/>
      <c r="H178" s="39"/>
      <c r="I178" s="350" t="s">
        <v>227</v>
      </c>
      <c r="J178" s="349">
        <v>-15139.58380674859</v>
      </c>
      <c r="K178" s="349">
        <v>-380281.8633020574</v>
      </c>
      <c r="L178" s="349">
        <v>365142.2794953088</v>
      </c>
      <c r="M178" s="321" t="s">
        <v>21</v>
      </c>
      <c r="N178" s="39"/>
      <c r="O178" s="39"/>
    </row>
    <row r="179" spans="1:15" ht="16.5" thickTop="1">
      <c r="A179" s="34">
        <v>4</v>
      </c>
      <c r="B179" s="39"/>
      <c r="C179" s="39"/>
      <c r="D179" s="39"/>
      <c r="E179" s="39"/>
      <c r="F179" s="39"/>
      <c r="G179" s="39"/>
      <c r="H179" s="39"/>
      <c r="I179" s="351" t="s">
        <v>226</v>
      </c>
      <c r="J179" s="321">
        <v>2419142.2794953086</v>
      </c>
      <c r="K179" s="321">
        <v>2054000</v>
      </c>
      <c r="L179" s="321">
        <v>380281.8633020574</v>
      </c>
      <c r="M179" s="39"/>
      <c r="N179" s="39"/>
      <c r="O179" s="39"/>
    </row>
    <row r="180" spans="1:15" ht="16.5" thickBot="1">
      <c r="A180" s="34">
        <v>4</v>
      </c>
      <c r="B180" s="39"/>
      <c r="C180" s="39"/>
      <c r="D180" s="39"/>
      <c r="E180" s="39"/>
      <c r="F180" s="39"/>
      <c r="G180" s="39"/>
      <c r="H180" s="39"/>
      <c r="I180" s="350" t="s">
        <v>261</v>
      </c>
      <c r="J180" s="349">
        <v>-365142.2794953088</v>
      </c>
      <c r="K180" s="39"/>
      <c r="L180" s="39"/>
      <c r="M180" s="39"/>
      <c r="N180" s="39"/>
      <c r="O180" s="39"/>
    </row>
    <row r="181" spans="1:15" ht="17.25" thickBot="1" thickTop="1">
      <c r="A181" s="34">
        <v>4</v>
      </c>
      <c r="B181" s="39"/>
      <c r="C181" s="39"/>
      <c r="D181" s="39"/>
      <c r="E181" s="39"/>
      <c r="F181" s="39"/>
      <c r="G181" s="39"/>
      <c r="H181" s="39"/>
      <c r="I181" s="350" t="s">
        <v>262</v>
      </c>
      <c r="J181" s="321">
        <v>2054000</v>
      </c>
      <c r="L181" s="350" t="s">
        <v>288</v>
      </c>
      <c r="M181" s="374">
        <v>0.102</v>
      </c>
      <c r="N181" s="375" t="s">
        <v>289</v>
      </c>
      <c r="O181" s="374">
        <v>0.12</v>
      </c>
    </row>
    <row r="182" spans="1:15" ht="13.5" thickTop="1">
      <c r="A182" s="34">
        <v>4</v>
      </c>
      <c r="B182" s="39"/>
      <c r="C182" s="39"/>
      <c r="D182" s="39"/>
      <c r="E182" s="39"/>
      <c r="F182" s="39"/>
      <c r="G182" s="39" t="s">
        <v>257</v>
      </c>
      <c r="H182" s="39"/>
      <c r="I182" s="39"/>
      <c r="J182" s="39"/>
      <c r="K182" s="39"/>
      <c r="L182" s="39"/>
      <c r="M182" s="39"/>
      <c r="N182" s="39"/>
      <c r="O182" s="39"/>
    </row>
    <row r="183" spans="1:14" ht="12.75">
      <c r="A183" s="34">
        <v>4</v>
      </c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</row>
    <row r="184" spans="1:14" ht="12.75">
      <c r="A184" s="34">
        <v>4</v>
      </c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</row>
    <row r="185" spans="1:2" ht="12.75">
      <c r="A185" s="34">
        <v>4</v>
      </c>
      <c r="B185" s="130" t="s">
        <v>175</v>
      </c>
    </row>
    <row r="186" spans="1:2" ht="12.75">
      <c r="A186" s="34">
        <v>4</v>
      </c>
      <c r="B186" s="130" t="s">
        <v>258</v>
      </c>
    </row>
    <row r="187" spans="1:2" ht="12.75">
      <c r="A187" s="34">
        <v>4</v>
      </c>
      <c r="B187" s="130" t="s">
        <v>245</v>
      </c>
    </row>
    <row r="188" spans="1:2" ht="12.75">
      <c r="A188" s="34">
        <v>4</v>
      </c>
      <c r="B188" s="130"/>
    </row>
    <row r="189" spans="1:2" ht="12.75">
      <c r="A189" s="34">
        <v>4</v>
      </c>
      <c r="B189" s="130" t="s">
        <v>224</v>
      </c>
    </row>
    <row r="190" spans="1:2" ht="12.75">
      <c r="A190" s="34">
        <v>4</v>
      </c>
      <c r="B190" s="130" t="s">
        <v>225</v>
      </c>
    </row>
    <row r="191" spans="1:2" ht="12.75">
      <c r="A191" s="34">
        <v>5</v>
      </c>
      <c r="B191" s="130"/>
    </row>
    <row r="192" spans="1:3" ht="12.75">
      <c r="A192" s="81">
        <v>5</v>
      </c>
      <c r="B192" s="131" t="s">
        <v>31</v>
      </c>
      <c r="C192" s="83"/>
    </row>
    <row r="193" spans="1:2" ht="12.75">
      <c r="A193" s="34">
        <v>5</v>
      </c>
      <c r="B193" s="35" t="s">
        <v>269</v>
      </c>
    </row>
    <row r="194" spans="1:2" ht="12.75">
      <c r="A194" s="34">
        <v>5</v>
      </c>
      <c r="B194" s="35" t="s">
        <v>181</v>
      </c>
    </row>
    <row r="195" spans="1:2" ht="12.75">
      <c r="A195" s="34">
        <v>5</v>
      </c>
      <c r="B195" s="35" t="s">
        <v>182</v>
      </c>
    </row>
    <row r="196" spans="1:2" ht="12.75">
      <c r="A196" s="34">
        <v>5</v>
      </c>
      <c r="B196" s="35" t="s">
        <v>185</v>
      </c>
    </row>
    <row r="197" spans="1:2" ht="12.75">
      <c r="A197" s="34">
        <v>5</v>
      </c>
      <c r="B197" s="35"/>
    </row>
    <row r="198" spans="1:2" ht="12.75">
      <c r="A198" s="34">
        <v>5</v>
      </c>
      <c r="B198" s="71" t="s">
        <v>183</v>
      </c>
    </row>
    <row r="199" spans="1:2" ht="12.75">
      <c r="A199" s="34">
        <v>5</v>
      </c>
      <c r="B199" s="71" t="s">
        <v>184</v>
      </c>
    </row>
    <row r="200" spans="1:2" ht="12.75">
      <c r="A200" s="34">
        <v>5</v>
      </c>
      <c r="B200" s="71" t="s">
        <v>281</v>
      </c>
    </row>
    <row r="201" spans="1:2" ht="12.75">
      <c r="A201" s="34">
        <v>5</v>
      </c>
      <c r="B201" s="71" t="s">
        <v>186</v>
      </c>
    </row>
    <row r="202" spans="1:2" ht="12.75">
      <c r="A202" s="34">
        <v>5</v>
      </c>
      <c r="B202" s="71" t="s">
        <v>187</v>
      </c>
    </row>
    <row r="203" spans="1:2" ht="12.75">
      <c r="A203" s="34">
        <v>5</v>
      </c>
      <c r="B203" s="71" t="s">
        <v>188</v>
      </c>
    </row>
    <row r="204" spans="1:2" ht="12.75">
      <c r="A204" s="34">
        <v>5</v>
      </c>
      <c r="B204" s="71" t="s">
        <v>189</v>
      </c>
    </row>
    <row r="205" spans="1:2" ht="12.75">
      <c r="A205" s="34">
        <v>5</v>
      </c>
      <c r="B205" s="71"/>
    </row>
    <row r="206" spans="1:2" ht="12.75">
      <c r="A206" s="34">
        <v>5</v>
      </c>
      <c r="B206" s="71" t="s">
        <v>190</v>
      </c>
    </row>
    <row r="207" spans="1:2" ht="12.75">
      <c r="A207" s="34">
        <v>5</v>
      </c>
      <c r="B207" s="130" t="s">
        <v>282</v>
      </c>
    </row>
    <row r="208" spans="1:2" ht="12.75">
      <c r="A208" s="34">
        <v>5</v>
      </c>
      <c r="B208" s="130" t="s">
        <v>191</v>
      </c>
    </row>
    <row r="209" spans="1:2" ht="12.75">
      <c r="A209" s="34">
        <v>6</v>
      </c>
      <c r="B209" s="35"/>
    </row>
    <row r="210" spans="1:3" ht="12.75">
      <c r="A210" s="81">
        <v>6</v>
      </c>
      <c r="B210" s="131" t="s">
        <v>31</v>
      </c>
      <c r="C210" s="83"/>
    </row>
    <row r="211" spans="1:2" ht="12.75">
      <c r="A211" s="34">
        <v>6</v>
      </c>
      <c r="B211" s="35" t="s">
        <v>298</v>
      </c>
    </row>
    <row r="212" spans="1:2" ht="12.75">
      <c r="A212" s="34">
        <v>6</v>
      </c>
      <c r="B212" s="35" t="s">
        <v>192</v>
      </c>
    </row>
    <row r="213" spans="1:2" ht="12.75">
      <c r="A213" s="34">
        <v>6</v>
      </c>
      <c r="B213" s="35" t="s">
        <v>193</v>
      </c>
    </row>
    <row r="214" spans="1:9" ht="12.75">
      <c r="A214" s="34">
        <v>6</v>
      </c>
      <c r="B214" s="35" t="s">
        <v>246</v>
      </c>
      <c r="C214" s="132"/>
      <c r="D214" s="132"/>
      <c r="E214" s="132"/>
      <c r="F214" s="132"/>
      <c r="G214" s="132"/>
      <c r="H214" s="132"/>
      <c r="I214" s="132"/>
    </row>
    <row r="215" spans="1:9" ht="12.75">
      <c r="A215" s="34">
        <v>6</v>
      </c>
      <c r="B215" s="71" t="s">
        <v>21</v>
      </c>
      <c r="C215" s="132"/>
      <c r="D215" s="132"/>
      <c r="E215" s="132"/>
      <c r="F215" s="132"/>
      <c r="G215" s="132"/>
      <c r="H215" s="132"/>
      <c r="I215" s="132"/>
    </row>
    <row r="216" spans="1:2" ht="12.75">
      <c r="A216" s="34">
        <v>6</v>
      </c>
      <c r="B216" s="43" t="s">
        <v>280</v>
      </c>
    </row>
    <row r="217" spans="1:2" ht="12.75">
      <c r="A217" s="34">
        <v>6</v>
      </c>
      <c r="B217" s="43" t="s">
        <v>201</v>
      </c>
    </row>
    <row r="218" spans="1:2" ht="12.75">
      <c r="A218" s="34">
        <v>6</v>
      </c>
      <c r="B218" s="43" t="s">
        <v>203</v>
      </c>
    </row>
    <row r="219" spans="1:2" ht="12.75">
      <c r="A219" s="34">
        <v>6</v>
      </c>
      <c r="B219" s="43" t="s">
        <v>202</v>
      </c>
    </row>
    <row r="220" spans="1:2" ht="12.75">
      <c r="A220" s="34">
        <v>6</v>
      </c>
      <c r="B220" s="43" t="s">
        <v>204</v>
      </c>
    </row>
    <row r="221" ht="12.75">
      <c r="A221" s="34">
        <v>6</v>
      </c>
    </row>
    <row r="222" spans="1:2" ht="12.75">
      <c r="A222" s="34">
        <v>7</v>
      </c>
      <c r="B222" s="35"/>
    </row>
    <row r="223" spans="1:3" ht="12.75">
      <c r="A223" s="81">
        <v>7</v>
      </c>
      <c r="B223" s="131" t="s">
        <v>31</v>
      </c>
      <c r="C223" s="83"/>
    </row>
    <row r="224" spans="1:2" ht="12.75">
      <c r="A224" s="34">
        <v>7</v>
      </c>
      <c r="B224" s="35" t="s">
        <v>298</v>
      </c>
    </row>
    <row r="225" ht="12.75">
      <c r="A225" s="34">
        <v>7</v>
      </c>
    </row>
    <row r="226" ht="12.75">
      <c r="A226" s="34">
        <v>7</v>
      </c>
    </row>
    <row r="227" ht="12.75">
      <c r="A227" s="34">
        <v>7</v>
      </c>
    </row>
    <row r="228" ht="12.75">
      <c r="A228" s="34">
        <v>7</v>
      </c>
    </row>
    <row r="229" ht="12.75">
      <c r="A229" s="34">
        <v>7</v>
      </c>
    </row>
    <row r="230" ht="12.75">
      <c r="A230" s="34">
        <v>7</v>
      </c>
    </row>
    <row r="231" ht="12.75">
      <c r="A231" s="34">
        <v>7</v>
      </c>
    </row>
    <row r="232" ht="12.75">
      <c r="A232" s="34">
        <v>7</v>
      </c>
    </row>
    <row r="233" ht="12.75">
      <c r="A233" s="34">
        <v>7</v>
      </c>
    </row>
    <row r="234" ht="12.75">
      <c r="A234" s="34">
        <v>7</v>
      </c>
    </row>
    <row r="235" ht="12.75">
      <c r="A235" s="34">
        <v>7</v>
      </c>
    </row>
  </sheetData>
  <hyperlinks>
    <hyperlink ref="B108" r:id="rId1" display="http://www.trinity.edu/ACCT5341/speakers/133glosf.htm#F-Terms"/>
    <hyperlink ref="B105" r:id="rId2" display="http://www.trinity.edu/ACCT5341/speakers/133glosf.htm#F-Terms"/>
    <hyperlink ref="B96" r:id="rId3" display="http://www.trinity.edu/ACCT5341/speakers/133glosf.htm#F-Terms"/>
    <hyperlink ref="C142" r:id="rId4" display="http://www.trinity.edu/rjensen/acct5341/speakers/133glosf.htm"/>
    <hyperlink ref="B99" r:id="rId5" display="http://www.trinity.edu/ACCT5341/speakers/133glosf.htm#F-Terms"/>
    <hyperlink ref="C145" r:id="rId6" display="http://www.trinity.edu/rjensen/acct5341/speakers/133glosf.htm"/>
  </hyperlinks>
  <printOptions/>
  <pageMargins left="0.75" right="0.75" top="1" bottom="1" header="0.5" footer="0.5"/>
  <pageSetup horizontalDpi="200" verticalDpi="200" orientation="portrait"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3"/>
  <sheetViews>
    <sheetView workbookViewId="0" topLeftCell="A1">
      <selection activeCell="A1" sqref="A1"/>
    </sheetView>
  </sheetViews>
  <sheetFormatPr defaultColWidth="9.33203125" defaultRowHeight="12.75"/>
  <cols>
    <col min="1" max="1" width="24.16015625" style="39" customWidth="1"/>
    <col min="2" max="2" width="12.5" style="39" customWidth="1"/>
    <col min="3" max="4" width="18.16015625" style="39" customWidth="1"/>
    <col min="5" max="5" width="14.33203125" style="39" customWidth="1"/>
    <col min="6" max="7" width="16.66015625" style="39" customWidth="1"/>
    <col min="8" max="10" width="18" style="39" customWidth="1"/>
    <col min="11" max="11" width="15" style="39" customWidth="1"/>
    <col min="12" max="12" width="17.5" style="39" customWidth="1"/>
    <col min="13" max="14" width="15" style="39" customWidth="1"/>
    <col min="15" max="15" width="9.5" style="39" bestFit="1" customWidth="1"/>
    <col min="16" max="16" width="10.5" style="39" bestFit="1" customWidth="1"/>
    <col min="17" max="19" width="9.33203125" style="39" customWidth="1"/>
    <col min="20" max="20" width="13.66015625" style="39" bestFit="1" customWidth="1"/>
    <col min="21" max="22" width="14.83203125" style="39" bestFit="1" customWidth="1"/>
    <col min="23" max="23" width="12.5" style="39" bestFit="1" customWidth="1"/>
    <col min="24" max="24" width="13.66015625" style="39" bestFit="1" customWidth="1"/>
    <col min="25" max="25" width="10.5" style="39" bestFit="1" customWidth="1"/>
    <col min="26" max="27" width="10" style="39" bestFit="1" customWidth="1"/>
    <col min="28" max="28" width="10.66015625" style="103" bestFit="1" customWidth="1"/>
    <col min="29" max="29" width="10.5" style="39" bestFit="1" customWidth="1"/>
    <col min="30" max="16384" width="9.33203125" style="39" customWidth="1"/>
  </cols>
  <sheetData>
    <row r="1" spans="1:37" ht="12.75">
      <c r="A1" s="9" t="s">
        <v>33</v>
      </c>
      <c r="B1" s="96"/>
      <c r="O1"/>
      <c r="P1"/>
      <c r="Q1"/>
      <c r="R1"/>
      <c r="S1"/>
      <c r="T1"/>
      <c r="U1"/>
      <c r="V1"/>
      <c r="W1" t="s">
        <v>53</v>
      </c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8.75">
      <c r="A2" s="371" t="s">
        <v>254</v>
      </c>
      <c r="B2" s="96"/>
      <c r="O2" t="s">
        <v>290</v>
      </c>
      <c r="P2"/>
      <c r="Q2"/>
      <c r="R2"/>
      <c r="S2"/>
      <c r="T2"/>
      <c r="U2"/>
      <c r="V2"/>
      <c r="W2" s="312">
        <v>20000000</v>
      </c>
      <c r="X2" s="313">
        <f>C22</f>
        <v>10000000</v>
      </c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12.75">
      <c r="A3" s="119" t="s">
        <v>78</v>
      </c>
      <c r="B3" s="96"/>
      <c r="O3"/>
      <c r="P3"/>
      <c r="Q3"/>
      <c r="R3"/>
      <c r="S3"/>
      <c r="T3"/>
      <c r="U3"/>
      <c r="V3"/>
      <c r="W3" s="310">
        <v>0.102</v>
      </c>
      <c r="X3" s="311">
        <v>0.1027</v>
      </c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2.75">
      <c r="A4" s="121" t="s">
        <v>205</v>
      </c>
      <c r="B4" s="10" t="s">
        <v>43</v>
      </c>
      <c r="O4"/>
      <c r="P4"/>
      <c r="Q4" s="1"/>
      <c r="R4" s="1"/>
      <c r="S4" s="1"/>
      <c r="T4"/>
      <c r="U4"/>
      <c r="V4" s="1"/>
      <c r="W4"/>
      <c r="X4"/>
      <c r="Y4" s="42" t="s">
        <v>21</v>
      </c>
      <c r="Z4"/>
      <c r="AA4"/>
      <c r="AB4"/>
      <c r="AC4"/>
      <c r="AD4"/>
      <c r="AE4"/>
      <c r="AF4"/>
      <c r="AG4"/>
      <c r="AH4"/>
      <c r="AI4"/>
      <c r="AJ4"/>
      <c r="AK4"/>
    </row>
    <row r="5" spans="15:37" ht="12.75">
      <c r="O5"/>
      <c r="P5" s="200">
        <v>37073</v>
      </c>
      <c r="Q5" s="1"/>
      <c r="R5" s="1" t="s">
        <v>35</v>
      </c>
      <c r="S5" s="1" t="s">
        <v>107</v>
      </c>
      <c r="T5" s="386" t="s">
        <v>5</v>
      </c>
      <c r="U5" s="386"/>
      <c r="V5" s="1" t="s">
        <v>37</v>
      </c>
      <c r="W5"/>
      <c r="X5" s="1" t="s">
        <v>206</v>
      </c>
      <c r="Y5" s="200">
        <f>P5</f>
        <v>37073</v>
      </c>
      <c r="Z5"/>
      <c r="AA5"/>
      <c r="AB5"/>
      <c r="AC5"/>
      <c r="AD5"/>
      <c r="AE5"/>
      <c r="AF5"/>
      <c r="AG5"/>
      <c r="AH5"/>
      <c r="AI5"/>
      <c r="AJ5"/>
      <c r="AK5"/>
    </row>
    <row r="6" spans="15:37" ht="12.75">
      <c r="O6"/>
      <c r="P6" s="1" t="s">
        <v>54</v>
      </c>
      <c r="Q6" s="1" t="s">
        <v>35</v>
      </c>
      <c r="R6" s="1" t="s">
        <v>64</v>
      </c>
      <c r="S6" s="1" t="s">
        <v>108</v>
      </c>
      <c r="T6" s="1" t="s">
        <v>59</v>
      </c>
      <c r="U6" s="1" t="s">
        <v>60</v>
      </c>
      <c r="V6" s="80" t="s">
        <v>110</v>
      </c>
      <c r="W6"/>
      <c r="X6" s="80" t="s">
        <v>5</v>
      </c>
      <c r="Y6" s="1" t="s">
        <v>5</v>
      </c>
      <c r="Z6"/>
      <c r="AA6"/>
      <c r="AB6"/>
      <c r="AC6"/>
      <c r="AD6"/>
      <c r="AE6" s="1" t="s">
        <v>66</v>
      </c>
      <c r="AF6" s="1"/>
      <c r="AG6"/>
      <c r="AH6"/>
      <c r="AI6"/>
      <c r="AJ6"/>
      <c r="AK6"/>
    </row>
    <row r="7" spans="15:37" ht="12.75">
      <c r="O7" s="133" t="s">
        <v>56</v>
      </c>
      <c r="P7" s="133" t="s">
        <v>55</v>
      </c>
      <c r="Q7" s="133" t="s">
        <v>67</v>
      </c>
      <c r="R7" s="133" t="s">
        <v>57</v>
      </c>
      <c r="S7" s="133" t="s">
        <v>26</v>
      </c>
      <c r="T7" s="134" t="s">
        <v>41</v>
      </c>
      <c r="U7" s="134" t="s">
        <v>109</v>
      </c>
      <c r="V7" s="134" t="s">
        <v>111</v>
      </c>
      <c r="W7" s="134" t="s">
        <v>68</v>
      </c>
      <c r="X7" s="134" t="s">
        <v>38</v>
      </c>
      <c r="Y7" s="134" t="s">
        <v>25</v>
      </c>
      <c r="Z7"/>
      <c r="AA7"/>
      <c r="AB7"/>
      <c r="AC7"/>
      <c r="AD7"/>
      <c r="AE7" s="133" t="s">
        <v>69</v>
      </c>
      <c r="AF7" s="133" t="s">
        <v>70</v>
      </c>
      <c r="AG7"/>
      <c r="AH7"/>
      <c r="AI7"/>
      <c r="AJ7"/>
      <c r="AK7"/>
    </row>
    <row r="8" spans="15:37" ht="12.75">
      <c r="O8" s="175">
        <v>37073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/>
      <c r="AA8"/>
      <c r="AB8"/>
      <c r="AC8"/>
      <c r="AD8"/>
      <c r="AE8" s="136"/>
      <c r="AF8" s="136"/>
      <c r="AG8"/>
      <c r="AH8"/>
      <c r="AI8"/>
      <c r="AJ8"/>
      <c r="AK8"/>
    </row>
    <row r="9" spans="15:37" ht="12.75">
      <c r="O9" s="135">
        <v>37164</v>
      </c>
      <c r="P9" s="177">
        <f>W$3</f>
        <v>0.102</v>
      </c>
      <c r="Q9" s="137">
        <f>+P9/4</f>
        <v>0.0255</v>
      </c>
      <c r="R9" s="137">
        <f>+Q9</f>
        <v>0.0255</v>
      </c>
      <c r="S9" s="257">
        <f>C119</f>
        <v>2</v>
      </c>
      <c r="T9" s="162">
        <f>Q9*W$2/S9</f>
        <v>254999.99999999997</v>
      </c>
      <c r="U9" s="162">
        <f>X$2*X$3/4</f>
        <v>256750</v>
      </c>
      <c r="V9" s="162">
        <f>+(R9)*W$2/S9</f>
        <v>254999.99999999997</v>
      </c>
      <c r="W9" s="162">
        <f>+T9-U9+V9</f>
        <v>253249.99999999994</v>
      </c>
      <c r="X9" s="4">
        <v>0</v>
      </c>
      <c r="Y9" s="178">
        <f aca="true" t="shared" si="0" ref="Y9:Y16">+X9/(1+Q9)^AE9</f>
        <v>0</v>
      </c>
      <c r="Z9"/>
      <c r="AA9"/>
      <c r="AB9"/>
      <c r="AC9"/>
      <c r="AD9"/>
      <c r="AE9" s="138">
        <v>1</v>
      </c>
      <c r="AF9" s="139">
        <f aca="true" t="shared" si="1" ref="AF9:AF16">+(1+Q9)^AE9</f>
        <v>1.0255</v>
      </c>
      <c r="AG9" s="163">
        <f>1+R9</f>
        <v>1.0255</v>
      </c>
      <c r="AH9"/>
      <c r="AI9"/>
      <c r="AJ9"/>
      <c r="AK9"/>
    </row>
    <row r="10" spans="15:37" ht="12.75">
      <c r="O10" s="135">
        <v>37256</v>
      </c>
      <c r="P10" s="177">
        <f aca="true" t="shared" si="2" ref="P10:P16">W$3</f>
        <v>0.102</v>
      </c>
      <c r="Q10" s="137">
        <f aca="true" t="shared" si="3" ref="Q10:Q16">+P10/4</f>
        <v>0.0255</v>
      </c>
      <c r="R10" s="137">
        <f aca="true" t="shared" si="4" ref="R10:R16">+AF10/AF9-1</f>
        <v>0.025500000000000078</v>
      </c>
      <c r="S10" s="257">
        <f aca="true" t="shared" si="5" ref="S10:S16">C120</f>
        <v>1.9945</v>
      </c>
      <c r="T10" s="162">
        <f aca="true" t="shared" si="6" ref="T10:T16">Q10*W$2/S10</f>
        <v>255703.18375532713</v>
      </c>
      <c r="U10" s="162">
        <f aca="true" t="shared" si="7" ref="U10:U16">X$2*X$3/4</f>
        <v>256750</v>
      </c>
      <c r="V10" s="162">
        <f aca="true" t="shared" si="8" ref="V10:V16">+(R10)*W$2/S10</f>
        <v>255703.18375532795</v>
      </c>
      <c r="W10" s="162">
        <f aca="true" t="shared" si="9" ref="W10:W16">+T10-U10+V10</f>
        <v>254656.36751065508</v>
      </c>
      <c r="X10" s="4">
        <v>0</v>
      </c>
      <c r="Y10" s="178">
        <f t="shared" si="0"/>
        <v>0</v>
      </c>
      <c r="Z10"/>
      <c r="AA10"/>
      <c r="AB10"/>
      <c r="AC10"/>
      <c r="AD10"/>
      <c r="AE10" s="140">
        <f>1+AE9</f>
        <v>2</v>
      </c>
      <c r="AF10" s="139">
        <f t="shared" si="1"/>
        <v>1.0516502500000002</v>
      </c>
      <c r="AG10" s="163">
        <f aca="true" t="shared" si="10" ref="AG10:AG16">1+R10</f>
        <v>1.0255</v>
      </c>
      <c r="AH10"/>
      <c r="AI10"/>
      <c r="AJ10"/>
      <c r="AK10"/>
    </row>
    <row r="11" spans="15:37" ht="12.75">
      <c r="O11" s="135">
        <v>37346</v>
      </c>
      <c r="P11" s="177">
        <f t="shared" si="2"/>
        <v>0.102</v>
      </c>
      <c r="Q11" s="137">
        <f t="shared" si="3"/>
        <v>0.0255</v>
      </c>
      <c r="R11" s="137">
        <f t="shared" si="4"/>
        <v>0.025500000000000078</v>
      </c>
      <c r="S11" s="257">
        <f t="shared" si="5"/>
        <v>1.9937</v>
      </c>
      <c r="T11" s="162">
        <f t="shared" si="6"/>
        <v>255805.7882329337</v>
      </c>
      <c r="U11" s="162">
        <f t="shared" si="7"/>
        <v>256750</v>
      </c>
      <c r="V11" s="162">
        <f t="shared" si="8"/>
        <v>255805.78823293452</v>
      </c>
      <c r="W11" s="162">
        <f t="shared" si="9"/>
        <v>254861.57646586822</v>
      </c>
      <c r="X11" s="4">
        <v>0</v>
      </c>
      <c r="Y11" s="178">
        <f t="shared" si="0"/>
        <v>0</v>
      </c>
      <c r="Z11"/>
      <c r="AA11"/>
      <c r="AB11"/>
      <c r="AC11"/>
      <c r="AD11" s="49"/>
      <c r="AE11" s="140">
        <f aca="true" t="shared" si="11" ref="AE11:AE16">1+AE10</f>
        <v>3</v>
      </c>
      <c r="AF11" s="139">
        <f t="shared" si="1"/>
        <v>1.0784673313750004</v>
      </c>
      <c r="AG11" s="163">
        <f t="shared" si="10"/>
        <v>1.0255</v>
      </c>
      <c r="AH11"/>
      <c r="AI11"/>
      <c r="AJ11"/>
      <c r="AK11"/>
    </row>
    <row r="12" spans="15:37" ht="12.75">
      <c r="O12" s="141">
        <v>37437</v>
      </c>
      <c r="P12" s="177">
        <f t="shared" si="2"/>
        <v>0.102</v>
      </c>
      <c r="Q12" s="137">
        <f t="shared" si="3"/>
        <v>0.0255</v>
      </c>
      <c r="R12" s="137">
        <f t="shared" si="4"/>
        <v>0.025500000000000078</v>
      </c>
      <c r="S12" s="257">
        <f t="shared" si="5"/>
        <v>1.983</v>
      </c>
      <c r="T12" s="162">
        <f t="shared" si="6"/>
        <v>257186.08169440238</v>
      </c>
      <c r="U12" s="162">
        <f t="shared" si="7"/>
        <v>256750</v>
      </c>
      <c r="V12" s="162">
        <f t="shared" si="8"/>
        <v>257186.0816944032</v>
      </c>
      <c r="W12" s="162">
        <f t="shared" si="9"/>
        <v>257622.16338880558</v>
      </c>
      <c r="X12" s="4">
        <v>0</v>
      </c>
      <c r="Y12" s="178">
        <f t="shared" si="0"/>
        <v>0</v>
      </c>
      <c r="Z12"/>
      <c r="AA12"/>
      <c r="AB12"/>
      <c r="AC12"/>
      <c r="AD12"/>
      <c r="AE12" s="140">
        <f t="shared" si="11"/>
        <v>4</v>
      </c>
      <c r="AF12" s="139">
        <f t="shared" si="1"/>
        <v>1.105968248325063</v>
      </c>
      <c r="AG12" s="163">
        <f t="shared" si="10"/>
        <v>1.0255</v>
      </c>
      <c r="AH12"/>
      <c r="AI12"/>
      <c r="AJ12"/>
      <c r="AK12"/>
    </row>
    <row r="13" spans="15:37" ht="12.75">
      <c r="O13" s="141">
        <v>37529</v>
      </c>
      <c r="P13" s="177">
        <f t="shared" si="2"/>
        <v>0.102</v>
      </c>
      <c r="Q13" s="137">
        <f t="shared" si="3"/>
        <v>0.0255</v>
      </c>
      <c r="R13" s="137">
        <f t="shared" si="4"/>
        <v>0.025500000000000078</v>
      </c>
      <c r="S13" s="257">
        <f t="shared" si="5"/>
        <v>1.9825</v>
      </c>
      <c r="T13" s="162">
        <f t="shared" si="6"/>
        <v>257250.94577553592</v>
      </c>
      <c r="U13" s="162">
        <f t="shared" si="7"/>
        <v>256750</v>
      </c>
      <c r="V13" s="162">
        <f t="shared" si="8"/>
        <v>257250.94577553673</v>
      </c>
      <c r="W13" s="162">
        <f t="shared" si="9"/>
        <v>257751.89155107265</v>
      </c>
      <c r="X13" s="4">
        <v>0</v>
      </c>
      <c r="Y13" s="178">
        <f t="shared" si="0"/>
        <v>0</v>
      </c>
      <c r="Z13"/>
      <c r="AA13"/>
      <c r="AB13"/>
      <c r="AC13"/>
      <c r="AD13"/>
      <c r="AE13" s="140">
        <f t="shared" si="11"/>
        <v>5</v>
      </c>
      <c r="AF13" s="139">
        <f t="shared" si="1"/>
        <v>1.1341704386573521</v>
      </c>
      <c r="AG13" s="163">
        <f t="shared" si="10"/>
        <v>1.0255</v>
      </c>
      <c r="AH13"/>
      <c r="AI13"/>
      <c r="AJ13"/>
      <c r="AK13"/>
    </row>
    <row r="14" spans="15:37" ht="12.75">
      <c r="O14" s="141">
        <v>37621</v>
      </c>
      <c r="P14" s="177">
        <f t="shared" si="2"/>
        <v>0.102</v>
      </c>
      <c r="Q14" s="137">
        <f t="shared" si="3"/>
        <v>0.0255</v>
      </c>
      <c r="R14" s="137">
        <f t="shared" si="4"/>
        <v>0.0255000000000003</v>
      </c>
      <c r="S14" s="257">
        <f t="shared" si="5"/>
        <v>1.98</v>
      </c>
      <c r="T14" s="162">
        <f t="shared" si="6"/>
        <v>257575.75757575754</v>
      </c>
      <c r="U14" s="162">
        <f t="shared" si="7"/>
        <v>256750</v>
      </c>
      <c r="V14" s="162">
        <f t="shared" si="8"/>
        <v>257575.7575757606</v>
      </c>
      <c r="W14" s="162">
        <f t="shared" si="9"/>
        <v>258401.51515151814</v>
      </c>
      <c r="X14" s="4">
        <v>0</v>
      </c>
      <c r="Y14" s="178">
        <f t="shared" si="0"/>
        <v>0</v>
      </c>
      <c r="Z14"/>
      <c r="AA14"/>
      <c r="AB14"/>
      <c r="AC14"/>
      <c r="AD14"/>
      <c r="AE14" s="140">
        <f t="shared" si="11"/>
        <v>6</v>
      </c>
      <c r="AF14" s="139">
        <f t="shared" si="1"/>
        <v>1.1630917848431148</v>
      </c>
      <c r="AG14" s="163">
        <f t="shared" si="10"/>
        <v>1.0255000000000003</v>
      </c>
      <c r="AH14"/>
      <c r="AI14"/>
      <c r="AJ14"/>
      <c r="AK14"/>
    </row>
    <row r="15" spans="15:37" ht="12.75">
      <c r="O15" s="141">
        <v>37711</v>
      </c>
      <c r="P15" s="177">
        <f t="shared" si="2"/>
        <v>0.102</v>
      </c>
      <c r="Q15" s="137">
        <f t="shared" si="3"/>
        <v>0.0255</v>
      </c>
      <c r="R15" s="137">
        <f t="shared" si="4"/>
        <v>0.0255000000000003</v>
      </c>
      <c r="S15" s="257">
        <f t="shared" si="5"/>
        <v>1.9795</v>
      </c>
      <c r="T15" s="162">
        <f t="shared" si="6"/>
        <v>257640.81838848192</v>
      </c>
      <c r="U15" s="162">
        <f t="shared" si="7"/>
        <v>256750</v>
      </c>
      <c r="V15" s="162">
        <f t="shared" si="8"/>
        <v>257640.81838848497</v>
      </c>
      <c r="W15" s="162">
        <f t="shared" si="9"/>
        <v>258531.6367769669</v>
      </c>
      <c r="X15" s="4">
        <v>0</v>
      </c>
      <c r="Y15" s="178">
        <f t="shared" si="0"/>
        <v>0</v>
      </c>
      <c r="Z15"/>
      <c r="AA15"/>
      <c r="AB15"/>
      <c r="AC15"/>
      <c r="AD15"/>
      <c r="AE15" s="140">
        <f t="shared" si="11"/>
        <v>7</v>
      </c>
      <c r="AF15" s="139">
        <f t="shared" si="1"/>
        <v>1.1927506253566145</v>
      </c>
      <c r="AG15" s="163">
        <f t="shared" si="10"/>
        <v>1.0255000000000003</v>
      </c>
      <c r="AH15"/>
      <c r="AI15"/>
      <c r="AJ15"/>
      <c r="AK15"/>
    </row>
    <row r="16" spans="1:37" ht="13.5" thickBot="1">
      <c r="A16" s="71" t="s">
        <v>299</v>
      </c>
      <c r="O16" s="164">
        <v>37802</v>
      </c>
      <c r="P16" s="342">
        <f t="shared" si="2"/>
        <v>0.102</v>
      </c>
      <c r="Q16" s="142">
        <f t="shared" si="3"/>
        <v>0.0255</v>
      </c>
      <c r="R16" s="142">
        <f t="shared" si="4"/>
        <v>0.025500000000000078</v>
      </c>
      <c r="S16" s="304">
        <f t="shared" si="5"/>
        <v>1.97429</v>
      </c>
      <c r="T16" s="165">
        <f t="shared" si="6"/>
        <v>258320.7127625627</v>
      </c>
      <c r="U16" s="165">
        <f t="shared" si="7"/>
        <v>256750</v>
      </c>
      <c r="V16" s="165">
        <f t="shared" si="8"/>
        <v>258320.71276256352</v>
      </c>
      <c r="W16" s="165">
        <f t="shared" si="9"/>
        <v>259891.42552512622</v>
      </c>
      <c r="X16" s="166">
        <v>0</v>
      </c>
      <c r="Y16" s="178">
        <f t="shared" si="0"/>
        <v>0</v>
      </c>
      <c r="Z16"/>
      <c r="AA16"/>
      <c r="AB16"/>
      <c r="AC16"/>
      <c r="AD16"/>
      <c r="AE16" s="143">
        <f t="shared" si="11"/>
        <v>8</v>
      </c>
      <c r="AF16" s="167">
        <f t="shared" si="1"/>
        <v>1.2231657663032083</v>
      </c>
      <c r="AG16" s="163">
        <f t="shared" si="10"/>
        <v>1.0255</v>
      </c>
      <c r="AH16"/>
      <c r="AI16"/>
      <c r="AJ16"/>
      <c r="AK16"/>
    </row>
    <row r="17" spans="15:37" ht="13.5" thickBot="1">
      <c r="O17" s="168" t="s">
        <v>61</v>
      </c>
      <c r="P17"/>
      <c r="Q17"/>
      <c r="R17"/>
      <c r="S17" s="258" t="s">
        <v>21</v>
      </c>
      <c r="T17"/>
      <c r="U17" s="162"/>
      <c r="V17" s="162"/>
      <c r="W17" s="162"/>
      <c r="X17" s="4">
        <f>SUM(X9:X16)</f>
        <v>0</v>
      </c>
      <c r="Y17" s="179">
        <f>SUM(Y9:Y16)</f>
        <v>0</v>
      </c>
      <c r="Z17"/>
      <c r="AA17">
        <v>0.0015967539760723044</v>
      </c>
      <c r="AB17"/>
      <c r="AC17" s="36" t="str">
        <f>+Y4</f>
        <v> </v>
      </c>
      <c r="AD17" t="s">
        <v>62</v>
      </c>
      <c r="AE17"/>
      <c r="AF17"/>
      <c r="AG17" s="169">
        <f>PRODUCT(AG9:AG16)</f>
        <v>1.2231657663032087</v>
      </c>
      <c r="AH17"/>
      <c r="AI17"/>
      <c r="AJ17"/>
      <c r="AK17"/>
    </row>
    <row r="18" spans="1:37" ht="12.75">
      <c r="A18" s="11" t="s">
        <v>89</v>
      </c>
      <c r="B18" s="97"/>
      <c r="C18" s="213" t="s">
        <v>21</v>
      </c>
      <c r="D18" s="213" t="s">
        <v>21</v>
      </c>
      <c r="E18" s="98"/>
      <c r="F18" s="97"/>
      <c r="G18" s="98"/>
      <c r="H18" s="12"/>
      <c r="I18" s="13"/>
      <c r="J18" s="14"/>
      <c r="K18" s="99"/>
      <c r="L18" s="99"/>
      <c r="M18" s="99"/>
      <c r="N18" s="99"/>
      <c r="O18" s="145"/>
      <c r="P18" s="14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2.75">
      <c r="A19" s="214" t="s">
        <v>21</v>
      </c>
      <c r="B19" s="15" t="s">
        <v>63</v>
      </c>
      <c r="C19" s="15" t="s">
        <v>93</v>
      </c>
      <c r="D19" s="16" t="s">
        <v>92</v>
      </c>
      <c r="E19" s="100"/>
      <c r="F19" s="15" t="s">
        <v>98</v>
      </c>
      <c r="G19" s="16" t="s">
        <v>98</v>
      </c>
      <c r="H19" s="16" t="s">
        <v>98</v>
      </c>
      <c r="I19" s="16" t="s">
        <v>93</v>
      </c>
      <c r="J19" s="17" t="s">
        <v>101</v>
      </c>
      <c r="K19" s="16" t="s">
        <v>105</v>
      </c>
      <c r="L19" s="16" t="s">
        <v>42</v>
      </c>
      <c r="M19" s="16" t="s">
        <v>93</v>
      </c>
      <c r="N19" s="16" t="s">
        <v>36</v>
      </c>
      <c r="O19"/>
      <c r="P19" s="194">
        <v>37164</v>
      </c>
      <c r="Q19" s="1"/>
      <c r="R19" s="1" t="s">
        <v>35</v>
      </c>
      <c r="S19" s="1" t="s">
        <v>107</v>
      </c>
      <c r="T19" s="386" t="s">
        <v>5</v>
      </c>
      <c r="U19" s="386"/>
      <c r="V19" s="1" t="s">
        <v>37</v>
      </c>
      <c r="W19"/>
      <c r="X19" s="1" t="s">
        <v>30</v>
      </c>
      <c r="Y19" s="194">
        <f>P19</f>
        <v>37164</v>
      </c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>
      <c r="A20" s="215" t="s">
        <v>21</v>
      </c>
      <c r="B20" s="18" t="s">
        <v>94</v>
      </c>
      <c r="C20" s="18" t="s">
        <v>103</v>
      </c>
      <c r="D20" s="19" t="s">
        <v>104</v>
      </c>
      <c r="E20" s="101"/>
      <c r="F20" s="18" t="s">
        <v>96</v>
      </c>
      <c r="G20" s="19" t="s">
        <v>99</v>
      </c>
      <c r="H20" s="19" t="s">
        <v>106</v>
      </c>
      <c r="I20" s="19" t="s">
        <v>100</v>
      </c>
      <c r="J20" s="20" t="s">
        <v>100</v>
      </c>
      <c r="K20" s="19" t="s">
        <v>5</v>
      </c>
      <c r="L20" s="19" t="s">
        <v>30</v>
      </c>
      <c r="M20" s="19" t="s">
        <v>75</v>
      </c>
      <c r="N20" s="19" t="s">
        <v>24</v>
      </c>
      <c r="O20"/>
      <c r="P20" s="1" t="s">
        <v>54</v>
      </c>
      <c r="Q20" s="1" t="s">
        <v>35</v>
      </c>
      <c r="R20" s="1" t="s">
        <v>64</v>
      </c>
      <c r="S20" s="1" t="s">
        <v>108</v>
      </c>
      <c r="T20" s="1" t="s">
        <v>59</v>
      </c>
      <c r="U20" s="1" t="s">
        <v>60</v>
      </c>
      <c r="V20" s="80" t="s">
        <v>110</v>
      </c>
      <c r="W20"/>
      <c r="X20" s="80" t="s">
        <v>5</v>
      </c>
      <c r="Y20" s="1" t="s">
        <v>5</v>
      </c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2.75">
      <c r="A21" s="21" t="s">
        <v>20</v>
      </c>
      <c r="B21" s="22" t="s">
        <v>26</v>
      </c>
      <c r="C21" s="23" t="s">
        <v>95</v>
      </c>
      <c r="D21" s="21" t="s">
        <v>95</v>
      </c>
      <c r="E21" s="21" t="s">
        <v>20</v>
      </c>
      <c r="F21" s="23" t="s">
        <v>97</v>
      </c>
      <c r="G21" s="21" t="s">
        <v>97</v>
      </c>
      <c r="H21" s="21" t="s">
        <v>102</v>
      </c>
      <c r="I21" s="21" t="s">
        <v>97</v>
      </c>
      <c r="J21" s="24" t="s">
        <v>102</v>
      </c>
      <c r="K21" s="21" t="s">
        <v>38</v>
      </c>
      <c r="L21" s="21" t="s">
        <v>25</v>
      </c>
      <c r="M21" s="21" t="s">
        <v>24</v>
      </c>
      <c r="N21" s="21" t="s">
        <v>122</v>
      </c>
      <c r="O21" s="133" t="s">
        <v>56</v>
      </c>
      <c r="P21" s="133" t="s">
        <v>55</v>
      </c>
      <c r="Q21" s="133" t="s">
        <v>67</v>
      </c>
      <c r="R21" s="133" t="s">
        <v>57</v>
      </c>
      <c r="S21" s="133" t="s">
        <v>26</v>
      </c>
      <c r="T21" s="134" t="s">
        <v>41</v>
      </c>
      <c r="U21" s="134" t="s">
        <v>109</v>
      </c>
      <c r="V21" s="134" t="s">
        <v>111</v>
      </c>
      <c r="W21" s="134" t="s">
        <v>68</v>
      </c>
      <c r="X21" s="134" t="s">
        <v>65</v>
      </c>
      <c r="Y21" s="134" t="s">
        <v>25</v>
      </c>
      <c r="Z21"/>
      <c r="AA21"/>
      <c r="AB21"/>
      <c r="AC21"/>
      <c r="AD21"/>
      <c r="AE21" s="133" t="s">
        <v>58</v>
      </c>
      <c r="AF21" s="133" t="s">
        <v>70</v>
      </c>
      <c r="AG21"/>
      <c r="AH21"/>
      <c r="AI21"/>
      <c r="AJ21"/>
      <c r="AK21"/>
    </row>
    <row r="22" spans="1:37" ht="12.75">
      <c r="A22" s="25">
        <v>0</v>
      </c>
      <c r="B22" s="205">
        <f>B118</f>
        <v>2</v>
      </c>
      <c r="C22" s="224">
        <v>10000000</v>
      </c>
      <c r="D22" s="241">
        <f>20000000</f>
        <v>20000000</v>
      </c>
      <c r="E22" s="153">
        <v>37073</v>
      </c>
      <c r="F22" s="216">
        <f>G68/4</f>
        <v>0.03</v>
      </c>
      <c r="G22" s="232">
        <f>X3/4</f>
        <v>0.025675</v>
      </c>
      <c r="H22" s="233">
        <v>0</v>
      </c>
      <c r="I22" s="216">
        <f>W3/4</f>
        <v>0.0255</v>
      </c>
      <c r="J22" s="233">
        <v>0</v>
      </c>
      <c r="K22" s="249">
        <f>J22-H22</f>
        <v>0</v>
      </c>
      <c r="L22" s="249">
        <f>Y17</f>
        <v>0</v>
      </c>
      <c r="M22" s="249">
        <v>0</v>
      </c>
      <c r="N22" s="249">
        <v>0</v>
      </c>
      <c r="O22" s="135">
        <v>37073</v>
      </c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/>
      <c r="AA22"/>
      <c r="AB22"/>
      <c r="AC22"/>
      <c r="AD22"/>
      <c r="AE22" s="136"/>
      <c r="AF22" s="136"/>
      <c r="AG22"/>
      <c r="AH22"/>
      <c r="AI22"/>
      <c r="AJ22"/>
      <c r="AK22"/>
    </row>
    <row r="23" spans="1:37" ht="12.75">
      <c r="A23" s="26">
        <v>1</v>
      </c>
      <c r="B23" s="206">
        <f aca="true" t="shared" si="12" ref="B23:B30">B119</f>
        <v>2.0225</v>
      </c>
      <c r="C23" s="225">
        <f>C$22</f>
        <v>10000000</v>
      </c>
      <c r="D23" s="242">
        <f>D$22</f>
        <v>20000000</v>
      </c>
      <c r="E23" s="93">
        <v>37164</v>
      </c>
      <c r="F23" s="217">
        <f>F$22</f>
        <v>0.03</v>
      </c>
      <c r="G23" s="217">
        <f>G$22</f>
        <v>0.025675</v>
      </c>
      <c r="H23" s="233">
        <f>C23*G23</f>
        <v>256750</v>
      </c>
      <c r="I23" s="217">
        <f>I$22</f>
        <v>0.0255</v>
      </c>
      <c r="J23" s="234">
        <f aca="true" t="shared" si="13" ref="J23:J30">D23*I23/B23</f>
        <v>252163.16440049442</v>
      </c>
      <c r="K23" s="250">
        <f aca="true" t="shared" si="14" ref="K23:K30">J23-H23</f>
        <v>-4586.835599505575</v>
      </c>
      <c r="L23" s="250">
        <f>Y31</f>
        <v>-3890.9935734162277</v>
      </c>
      <c r="M23" s="250">
        <v>0</v>
      </c>
      <c r="N23" s="250">
        <f>D23*F23/B23</f>
        <v>296662.54635352286</v>
      </c>
      <c r="O23" s="148">
        <v>37164</v>
      </c>
      <c r="P23" s="155">
        <f aca="true" t="shared" si="15" ref="P23:P30">W$3</f>
        <v>0.102</v>
      </c>
      <c r="Q23" s="137">
        <f>+P23/4</f>
        <v>0.0255</v>
      </c>
      <c r="R23" s="137">
        <f>+Q23</f>
        <v>0.0255</v>
      </c>
      <c r="S23" s="259">
        <f>S9</f>
        <v>2</v>
      </c>
      <c r="T23" s="162">
        <f>Q23*W$2/S23</f>
        <v>254999.99999999997</v>
      </c>
      <c r="U23" s="162">
        <f>X$2*X$3/4</f>
        <v>256750</v>
      </c>
      <c r="V23" s="162">
        <f>+(R23)*W$2/S23</f>
        <v>254999.99999999997</v>
      </c>
      <c r="W23" s="162">
        <f>+T23-U23+V23</f>
        <v>253249.99999999994</v>
      </c>
      <c r="X23" s="4">
        <f>+W23-V23</f>
        <v>-1750.000000000029</v>
      </c>
      <c r="Y23" s="172">
        <v>0</v>
      </c>
      <c r="Z23"/>
      <c r="AA23" s="162"/>
      <c r="AB23"/>
      <c r="AC23"/>
      <c r="AD23"/>
      <c r="AE23" s="138">
        <v>0</v>
      </c>
      <c r="AF23" s="139">
        <f aca="true" t="shared" si="16" ref="AF23:AF30">+(1+Q23)^AE23</f>
        <v>1</v>
      </c>
      <c r="AG23"/>
      <c r="AH23"/>
      <c r="AI23"/>
      <c r="AJ23"/>
      <c r="AK23"/>
    </row>
    <row r="24" spans="1:37" ht="12.75">
      <c r="A24" s="27">
        <v>2</v>
      </c>
      <c r="B24" s="207">
        <f t="shared" si="12"/>
        <v>2.015</v>
      </c>
      <c r="C24" s="226">
        <f aca="true" t="shared" si="17" ref="C24:D30">C$22</f>
        <v>10000000</v>
      </c>
      <c r="D24" s="243">
        <f t="shared" si="17"/>
        <v>20000000</v>
      </c>
      <c r="E24" s="154">
        <v>37256</v>
      </c>
      <c r="F24" s="218">
        <f aca="true" t="shared" si="18" ref="F24:I30">F$22</f>
        <v>0.03</v>
      </c>
      <c r="G24" s="218">
        <f t="shared" si="18"/>
        <v>0.025675</v>
      </c>
      <c r="H24" s="235">
        <f aca="true" t="shared" si="19" ref="H24:H30">C24*G24</f>
        <v>256750</v>
      </c>
      <c r="I24" s="218">
        <f t="shared" si="18"/>
        <v>0.0255</v>
      </c>
      <c r="J24" s="235">
        <f t="shared" si="13"/>
        <v>253101.73697270468</v>
      </c>
      <c r="K24" s="251">
        <f t="shared" si="14"/>
        <v>-3648.2630272953247</v>
      </c>
      <c r="L24" s="251">
        <f>Y45</f>
        <v>4995.533161208478</v>
      </c>
      <c r="M24" s="251">
        <f aca="true" t="shared" si="20" ref="M24:M29">L23*G22</f>
        <v>-99.90125999746165</v>
      </c>
      <c r="N24" s="251">
        <f aca="true" t="shared" si="21" ref="N24:N30">D24*F24/B24</f>
        <v>297766.7493796526</v>
      </c>
      <c r="O24" s="141">
        <v>37256</v>
      </c>
      <c r="P24" s="155">
        <f t="shared" si="15"/>
        <v>0.102</v>
      </c>
      <c r="Q24" s="137">
        <f aca="true" t="shared" si="22" ref="Q24:Q30">+P24/4</f>
        <v>0.0255</v>
      </c>
      <c r="R24" s="137">
        <f aca="true" t="shared" si="23" ref="R24:R30">+AF24/AF23-1</f>
        <v>0.025500000000000078</v>
      </c>
      <c r="S24" s="259">
        <f>D120</f>
        <v>1.9985</v>
      </c>
      <c r="T24" s="162">
        <f aca="true" t="shared" si="24" ref="T24:T30">Q24*W$2/S24</f>
        <v>255191.39354515885</v>
      </c>
      <c r="U24" s="162">
        <f aca="true" t="shared" si="25" ref="U24:U30">X$2*X$3/4</f>
        <v>256750</v>
      </c>
      <c r="V24" s="162">
        <f aca="true" t="shared" si="26" ref="V24:V30">+(R24)*W$2/S24</f>
        <v>255191.39354515966</v>
      </c>
      <c r="W24" s="162">
        <f aca="true" t="shared" si="27" ref="W24:W30">+T24-U24+V24</f>
        <v>253632.7870903185</v>
      </c>
      <c r="X24" s="4">
        <f aca="true" t="shared" si="28" ref="X24:X30">+W24-V24</f>
        <v>-1558.6064548411523</v>
      </c>
      <c r="Y24" s="172">
        <f aca="true" t="shared" si="29" ref="Y24:Y30">+X24/(1+Q24)^AE24</f>
        <v>-1519.8502728826447</v>
      </c>
      <c r="Z24"/>
      <c r="AA24" s="162"/>
      <c r="AB24"/>
      <c r="AC24"/>
      <c r="AD24"/>
      <c r="AE24" s="140">
        <f>1+AE23</f>
        <v>1</v>
      </c>
      <c r="AF24" s="139">
        <f t="shared" si="16"/>
        <v>1.0255</v>
      </c>
      <c r="AG24"/>
      <c r="AH24"/>
      <c r="AI24"/>
      <c r="AJ24"/>
      <c r="AK24"/>
    </row>
    <row r="25" spans="1:37" ht="12.75">
      <c r="A25" s="28">
        <v>3</v>
      </c>
      <c r="B25" s="208">
        <f t="shared" si="12"/>
        <v>1.9875</v>
      </c>
      <c r="C25" s="227">
        <f t="shared" si="17"/>
        <v>10000000</v>
      </c>
      <c r="D25" s="244">
        <f t="shared" si="17"/>
        <v>20000000</v>
      </c>
      <c r="E25" s="89">
        <v>37346</v>
      </c>
      <c r="F25" s="219">
        <f t="shared" si="18"/>
        <v>0.03</v>
      </c>
      <c r="G25" s="219">
        <f t="shared" si="18"/>
        <v>0.025675</v>
      </c>
      <c r="H25" s="236">
        <f t="shared" si="19"/>
        <v>256750</v>
      </c>
      <c r="I25" s="219">
        <f t="shared" si="18"/>
        <v>0.0255</v>
      </c>
      <c r="J25" s="236">
        <f t="shared" si="13"/>
        <v>256603.77358490563</v>
      </c>
      <c r="K25" s="252">
        <f t="shared" si="14"/>
        <v>-146.22641509436653</v>
      </c>
      <c r="L25" s="252">
        <f>Y59</f>
        <v>5971.667987070307</v>
      </c>
      <c r="M25" s="252">
        <f t="shared" si="20"/>
        <v>128.26031391402768</v>
      </c>
      <c r="N25" s="252">
        <f t="shared" si="21"/>
        <v>301886.7924528302</v>
      </c>
      <c r="O25" s="141">
        <v>37346</v>
      </c>
      <c r="P25" s="155">
        <f t="shared" si="15"/>
        <v>0.102</v>
      </c>
      <c r="Q25" s="137">
        <f t="shared" si="22"/>
        <v>0.0255</v>
      </c>
      <c r="R25" s="137">
        <f t="shared" si="23"/>
        <v>0.025500000000000078</v>
      </c>
      <c r="S25" s="259">
        <f aca="true" t="shared" si="30" ref="S25:S30">D121</f>
        <v>1.9975</v>
      </c>
      <c r="T25" s="162">
        <f t="shared" si="24"/>
        <v>255319.14893617018</v>
      </c>
      <c r="U25" s="162">
        <f t="shared" si="25"/>
        <v>256750</v>
      </c>
      <c r="V25" s="162">
        <f t="shared" si="26"/>
        <v>255319.148936171</v>
      </c>
      <c r="W25" s="162">
        <f t="shared" si="27"/>
        <v>253888.29787234118</v>
      </c>
      <c r="X25" s="4">
        <f t="shared" si="28"/>
        <v>-1430.8510638298176</v>
      </c>
      <c r="Y25" s="172">
        <f t="shared" si="29"/>
        <v>-1360.5769254843208</v>
      </c>
      <c r="Z25"/>
      <c r="AA25" s="162"/>
      <c r="AB25"/>
      <c r="AC25"/>
      <c r="AD25" s="49"/>
      <c r="AE25" s="140">
        <f aca="true" t="shared" si="31" ref="AE25:AE30">1+AE24</f>
        <v>2</v>
      </c>
      <c r="AF25" s="139">
        <f t="shared" si="16"/>
        <v>1.0516502500000002</v>
      </c>
      <c r="AG25"/>
      <c r="AH25"/>
      <c r="AI25"/>
      <c r="AJ25"/>
      <c r="AK25"/>
    </row>
    <row r="26" spans="1:37" ht="12.75">
      <c r="A26" s="29">
        <v>4</v>
      </c>
      <c r="B26" s="209">
        <f t="shared" si="12"/>
        <v>1.975</v>
      </c>
      <c r="C26" s="228">
        <f t="shared" si="17"/>
        <v>10000000</v>
      </c>
      <c r="D26" s="245">
        <f t="shared" si="17"/>
        <v>20000000</v>
      </c>
      <c r="E26" s="90">
        <v>37437</v>
      </c>
      <c r="F26" s="220">
        <f t="shared" si="18"/>
        <v>0.03</v>
      </c>
      <c r="G26" s="220">
        <f t="shared" si="18"/>
        <v>0.025675</v>
      </c>
      <c r="H26" s="237">
        <f t="shared" si="19"/>
        <v>256750</v>
      </c>
      <c r="I26" s="220">
        <f t="shared" si="18"/>
        <v>0.0255</v>
      </c>
      <c r="J26" s="237">
        <f t="shared" si="13"/>
        <v>258227.8481012658</v>
      </c>
      <c r="K26" s="253">
        <f t="shared" si="14"/>
        <v>1477.8481012657867</v>
      </c>
      <c r="L26" s="253">
        <f>Y73</f>
        <v>9770.285343373751</v>
      </c>
      <c r="M26" s="253">
        <f t="shared" si="20"/>
        <v>153.32257556803015</v>
      </c>
      <c r="N26" s="253">
        <f t="shared" si="21"/>
        <v>303797.46835443034</v>
      </c>
      <c r="O26" s="141">
        <v>37437</v>
      </c>
      <c r="P26" s="155">
        <f t="shared" si="15"/>
        <v>0.102</v>
      </c>
      <c r="Q26" s="137">
        <f t="shared" si="22"/>
        <v>0.0255</v>
      </c>
      <c r="R26" s="137">
        <f t="shared" si="23"/>
        <v>0.025500000000000078</v>
      </c>
      <c r="S26" s="259">
        <f t="shared" si="30"/>
        <v>1.995</v>
      </c>
      <c r="T26" s="162">
        <f t="shared" si="24"/>
        <v>255639.09774436086</v>
      </c>
      <c r="U26" s="162">
        <f t="shared" si="25"/>
        <v>256750</v>
      </c>
      <c r="V26" s="162">
        <f t="shared" si="26"/>
        <v>255639.09774436167</v>
      </c>
      <c r="W26" s="162">
        <f t="shared" si="27"/>
        <v>254528.19548872253</v>
      </c>
      <c r="X26" s="4">
        <f t="shared" si="28"/>
        <v>-1110.9022556391428</v>
      </c>
      <c r="Y26" s="172">
        <f t="shared" si="29"/>
        <v>-1030.0750178707679</v>
      </c>
      <c r="Z26"/>
      <c r="AA26" s="162"/>
      <c r="AB26"/>
      <c r="AC26"/>
      <c r="AD26"/>
      <c r="AE26" s="140">
        <f t="shared" si="31"/>
        <v>3</v>
      </c>
      <c r="AF26" s="139">
        <f t="shared" si="16"/>
        <v>1.0784673313750004</v>
      </c>
      <c r="AG26"/>
      <c r="AH26"/>
      <c r="AI26"/>
      <c r="AJ26"/>
      <c r="AK26"/>
    </row>
    <row r="27" spans="1:37" ht="12.75">
      <c r="A27" s="30">
        <v>5</v>
      </c>
      <c r="B27" s="210">
        <f t="shared" si="12"/>
        <v>1.9685</v>
      </c>
      <c r="C27" s="229">
        <f t="shared" si="17"/>
        <v>10000000</v>
      </c>
      <c r="D27" s="246">
        <f t="shared" si="17"/>
        <v>20000000</v>
      </c>
      <c r="E27" s="91">
        <v>37529</v>
      </c>
      <c r="F27" s="221">
        <f t="shared" si="18"/>
        <v>0.03</v>
      </c>
      <c r="G27" s="221">
        <f t="shared" si="18"/>
        <v>0.025675</v>
      </c>
      <c r="H27" s="238">
        <f t="shared" si="19"/>
        <v>256750</v>
      </c>
      <c r="I27" s="221">
        <f t="shared" si="18"/>
        <v>0.0255</v>
      </c>
      <c r="J27" s="238">
        <f t="shared" si="13"/>
        <v>259080.5181610363</v>
      </c>
      <c r="K27" s="254">
        <f t="shared" si="14"/>
        <v>2330.518161036307</v>
      </c>
      <c r="L27" s="254">
        <f>Y87</f>
        <v>13790.695618547159</v>
      </c>
      <c r="M27" s="254">
        <f t="shared" si="20"/>
        <v>250.85207619112106</v>
      </c>
      <c r="N27" s="254">
        <f t="shared" si="21"/>
        <v>304800.60960121924</v>
      </c>
      <c r="O27" s="141">
        <v>37529</v>
      </c>
      <c r="P27" s="155">
        <f t="shared" si="15"/>
        <v>0.102</v>
      </c>
      <c r="Q27" s="137">
        <f t="shared" si="22"/>
        <v>0.0255</v>
      </c>
      <c r="R27" s="137">
        <f t="shared" si="23"/>
        <v>0.025500000000000078</v>
      </c>
      <c r="S27" s="259">
        <f t="shared" si="30"/>
        <v>1.99</v>
      </c>
      <c r="T27" s="162">
        <f t="shared" si="24"/>
        <v>256281.40703517586</v>
      </c>
      <c r="U27" s="162">
        <f t="shared" si="25"/>
        <v>256750</v>
      </c>
      <c r="V27" s="162">
        <f t="shared" si="26"/>
        <v>256281.40703517667</v>
      </c>
      <c r="W27" s="162">
        <f t="shared" si="27"/>
        <v>255812.81407035253</v>
      </c>
      <c r="X27" s="4">
        <f t="shared" si="28"/>
        <v>-468.59296482414356</v>
      </c>
      <c r="Y27" s="172">
        <f t="shared" si="29"/>
        <v>-423.6947720097802</v>
      </c>
      <c r="Z27"/>
      <c r="AA27" s="162"/>
      <c r="AB27"/>
      <c r="AC27"/>
      <c r="AD27"/>
      <c r="AE27" s="140">
        <f t="shared" si="31"/>
        <v>4</v>
      </c>
      <c r="AF27" s="139">
        <f t="shared" si="16"/>
        <v>1.105968248325063</v>
      </c>
      <c r="AG27"/>
      <c r="AH27"/>
      <c r="AI27"/>
      <c r="AJ27"/>
      <c r="AK27"/>
    </row>
    <row r="28" spans="1:37" ht="12.75">
      <c r="A28" s="31">
        <v>6</v>
      </c>
      <c r="B28" s="211">
        <f t="shared" si="12"/>
        <v>1.948</v>
      </c>
      <c r="C28" s="230">
        <f t="shared" si="17"/>
        <v>10000000</v>
      </c>
      <c r="D28" s="247">
        <f t="shared" si="17"/>
        <v>20000000</v>
      </c>
      <c r="E28" s="92">
        <v>37621</v>
      </c>
      <c r="F28" s="222">
        <f t="shared" si="18"/>
        <v>0.03</v>
      </c>
      <c r="G28" s="222">
        <f t="shared" si="18"/>
        <v>0.025675</v>
      </c>
      <c r="H28" s="239">
        <f t="shared" si="19"/>
        <v>256750</v>
      </c>
      <c r="I28" s="222">
        <f t="shared" si="18"/>
        <v>0.0255</v>
      </c>
      <c r="J28" s="239">
        <f t="shared" si="13"/>
        <v>261806.98151950716</v>
      </c>
      <c r="K28" s="255">
        <f t="shared" si="14"/>
        <v>5056.981519507157</v>
      </c>
      <c r="L28" s="255">
        <f>Y101</f>
        <v>11736.5929898051</v>
      </c>
      <c r="M28" s="255">
        <f t="shared" si="20"/>
        <v>354.0761100061983</v>
      </c>
      <c r="N28" s="255">
        <f t="shared" si="21"/>
        <v>308008.2135523614</v>
      </c>
      <c r="O28" s="141">
        <v>37621</v>
      </c>
      <c r="P28" s="155">
        <f t="shared" si="15"/>
        <v>0.102</v>
      </c>
      <c r="Q28" s="137">
        <f t="shared" si="22"/>
        <v>0.0255</v>
      </c>
      <c r="R28" s="137">
        <f t="shared" si="23"/>
        <v>0.025500000000000078</v>
      </c>
      <c r="S28" s="259">
        <f t="shared" si="30"/>
        <v>1.9875</v>
      </c>
      <c r="T28" s="162">
        <f t="shared" si="24"/>
        <v>256603.77358490563</v>
      </c>
      <c r="U28" s="162">
        <f t="shared" si="25"/>
        <v>256750</v>
      </c>
      <c r="V28" s="162">
        <f t="shared" si="26"/>
        <v>256603.77358490645</v>
      </c>
      <c r="W28" s="162">
        <f t="shared" si="27"/>
        <v>256457.54716981208</v>
      </c>
      <c r="X28" s="4">
        <f t="shared" si="28"/>
        <v>-146.22641509436653</v>
      </c>
      <c r="Y28" s="172">
        <f t="shared" si="29"/>
        <v>-128.92807827672846</v>
      </c>
      <c r="Z28"/>
      <c r="AA28" s="162"/>
      <c r="AB28"/>
      <c r="AC28"/>
      <c r="AD28"/>
      <c r="AE28" s="140">
        <f t="shared" si="31"/>
        <v>5</v>
      </c>
      <c r="AF28" s="139">
        <f t="shared" si="16"/>
        <v>1.1341704386573521</v>
      </c>
      <c r="AG28"/>
      <c r="AH28"/>
      <c r="AI28"/>
      <c r="AJ28"/>
      <c r="AK28"/>
    </row>
    <row r="29" spans="1:37" ht="12.75">
      <c r="A29" s="26">
        <v>7</v>
      </c>
      <c r="B29" s="206">
        <f t="shared" si="12"/>
        <v>1.9325</v>
      </c>
      <c r="C29" s="225">
        <f t="shared" si="17"/>
        <v>10000000</v>
      </c>
      <c r="D29" s="242">
        <f t="shared" si="17"/>
        <v>20000000</v>
      </c>
      <c r="E29" s="93">
        <v>37711</v>
      </c>
      <c r="F29" s="217">
        <f t="shared" si="18"/>
        <v>0.03</v>
      </c>
      <c r="G29" s="217">
        <f t="shared" si="18"/>
        <v>0.025675</v>
      </c>
      <c r="H29" s="234">
        <f t="shared" si="19"/>
        <v>256750</v>
      </c>
      <c r="I29" s="217">
        <f t="shared" si="18"/>
        <v>0.0255</v>
      </c>
      <c r="J29" s="234">
        <f t="shared" si="13"/>
        <v>263906.8564036222</v>
      </c>
      <c r="K29" s="250">
        <f t="shared" si="14"/>
        <v>7156.856403622194</v>
      </c>
      <c r="L29" s="250">
        <f>Y115</f>
        <v>7646.45508407207</v>
      </c>
      <c r="M29" s="250">
        <f t="shared" si="20"/>
        <v>301.3370250132459</v>
      </c>
      <c r="N29" s="250">
        <f t="shared" si="21"/>
        <v>310478.65459249675</v>
      </c>
      <c r="O29" s="141">
        <v>37711</v>
      </c>
      <c r="P29" s="155">
        <f t="shared" si="15"/>
        <v>0.102</v>
      </c>
      <c r="Q29" s="137">
        <f t="shared" si="22"/>
        <v>0.0255</v>
      </c>
      <c r="R29" s="137">
        <f t="shared" si="23"/>
        <v>0.0255000000000003</v>
      </c>
      <c r="S29" s="259">
        <f t="shared" si="30"/>
        <v>1.985</v>
      </c>
      <c r="T29" s="162">
        <f t="shared" si="24"/>
        <v>256926.9521410579</v>
      </c>
      <c r="U29" s="162">
        <f t="shared" si="25"/>
        <v>256750</v>
      </c>
      <c r="V29" s="162">
        <f t="shared" si="26"/>
        <v>256926.95214106093</v>
      </c>
      <c r="W29" s="162">
        <f t="shared" si="27"/>
        <v>257103.90428211883</v>
      </c>
      <c r="X29" s="4">
        <f t="shared" si="28"/>
        <v>176.95214105790365</v>
      </c>
      <c r="Y29" s="172">
        <f t="shared" si="29"/>
        <v>152.13944708737847</v>
      </c>
      <c r="Z29"/>
      <c r="AA29" s="162"/>
      <c r="AB29"/>
      <c r="AC29"/>
      <c r="AD29"/>
      <c r="AE29" s="140">
        <f t="shared" si="31"/>
        <v>6</v>
      </c>
      <c r="AF29" s="139">
        <f t="shared" si="16"/>
        <v>1.1630917848431148</v>
      </c>
      <c r="AG29"/>
      <c r="AH29"/>
      <c r="AI29"/>
      <c r="AJ29"/>
      <c r="AK29"/>
    </row>
    <row r="30" spans="1:37" ht="13.5" thickBot="1">
      <c r="A30" s="32">
        <v>8</v>
      </c>
      <c r="B30" s="212">
        <f t="shared" si="12"/>
        <v>1.93</v>
      </c>
      <c r="C30" s="231">
        <f t="shared" si="17"/>
        <v>10000000</v>
      </c>
      <c r="D30" s="248">
        <f t="shared" si="17"/>
        <v>20000000</v>
      </c>
      <c r="E30" s="94">
        <v>37802</v>
      </c>
      <c r="F30" s="223">
        <f t="shared" si="18"/>
        <v>0.03</v>
      </c>
      <c r="G30" s="223">
        <f t="shared" si="18"/>
        <v>0.025675</v>
      </c>
      <c r="H30" s="240">
        <f t="shared" si="19"/>
        <v>256750</v>
      </c>
      <c r="I30" s="223">
        <f t="shared" si="18"/>
        <v>0.0255</v>
      </c>
      <c r="J30" s="240">
        <f t="shared" si="13"/>
        <v>264248.7046632124</v>
      </c>
      <c r="K30" s="256">
        <f t="shared" si="14"/>
        <v>7498.704663212411</v>
      </c>
      <c r="L30" s="256">
        <v>0</v>
      </c>
      <c r="M30" s="256">
        <v>0</v>
      </c>
      <c r="N30" s="256">
        <f t="shared" si="21"/>
        <v>310880.82901554403</v>
      </c>
      <c r="O30" s="164">
        <v>37802</v>
      </c>
      <c r="P30" s="343">
        <f t="shared" si="15"/>
        <v>0.102</v>
      </c>
      <c r="Q30" s="142">
        <f t="shared" si="22"/>
        <v>0.0255</v>
      </c>
      <c r="R30" s="142">
        <f t="shared" si="23"/>
        <v>0.0255000000000003</v>
      </c>
      <c r="S30" s="260">
        <f t="shared" si="30"/>
        <v>1.9825</v>
      </c>
      <c r="T30" s="165">
        <f t="shared" si="24"/>
        <v>257250.94577553592</v>
      </c>
      <c r="U30" s="165">
        <f t="shared" si="25"/>
        <v>256750</v>
      </c>
      <c r="V30" s="165">
        <f t="shared" si="26"/>
        <v>257250.94577553897</v>
      </c>
      <c r="W30" s="165">
        <f t="shared" si="27"/>
        <v>257751.8915510749</v>
      </c>
      <c r="X30" s="166">
        <f t="shared" si="28"/>
        <v>500.9457755359181</v>
      </c>
      <c r="Y30" s="172">
        <f t="shared" si="29"/>
        <v>419.9920460206364</v>
      </c>
      <c r="Z30"/>
      <c r="AA30" s="162"/>
      <c r="AB30"/>
      <c r="AC30"/>
      <c r="AD30"/>
      <c r="AE30" s="143">
        <f t="shared" si="31"/>
        <v>7</v>
      </c>
      <c r="AF30" s="144">
        <f t="shared" si="16"/>
        <v>1.1927506253566145</v>
      </c>
      <c r="AG30"/>
      <c r="AH30"/>
      <c r="AI30"/>
      <c r="AJ30"/>
      <c r="AK30"/>
    </row>
    <row r="31" spans="14:37" ht="13.5" thickBot="1">
      <c r="N31" s="102" t="s">
        <v>21</v>
      </c>
      <c r="O31" t="s">
        <v>61</v>
      </c>
      <c r="P31"/>
      <c r="Q31"/>
      <c r="R31"/>
      <c r="S31"/>
      <c r="T31"/>
      <c r="U31" s="162"/>
      <c r="V31" s="162"/>
      <c r="W31" s="162"/>
      <c r="X31" s="4">
        <f>SUM(X23:X30)</f>
        <v>-5787.28123763483</v>
      </c>
      <c r="Y31" s="173">
        <f>SUM(Y24:Y30)</f>
        <v>-3890.9935734162277</v>
      </c>
      <c r="Z31"/>
      <c r="AA31">
        <v>0.0014802793682608475</v>
      </c>
      <c r="AB31"/>
      <c r="AC31" s="58" t="s">
        <v>71</v>
      </c>
      <c r="AD31"/>
      <c r="AE31"/>
      <c r="AF31"/>
      <c r="AG31"/>
      <c r="AH31"/>
      <c r="AI31"/>
      <c r="AJ31"/>
      <c r="AK31"/>
    </row>
    <row r="32" spans="14:37" ht="12.75">
      <c r="N32" s="39" t="s">
        <v>21</v>
      </c>
      <c r="O32"/>
      <c r="P32"/>
      <c r="Q32" s="1"/>
      <c r="R32"/>
      <c r="S32"/>
      <c r="T32"/>
      <c r="U32"/>
      <c r="V32"/>
      <c r="W32"/>
      <c r="X32"/>
      <c r="Y32" s="1"/>
      <c r="Z32"/>
      <c r="AA32"/>
      <c r="AB32" s="42">
        <f>P33</f>
        <v>37256</v>
      </c>
      <c r="AC32"/>
      <c r="AD32"/>
      <c r="AE32"/>
      <c r="AF32"/>
      <c r="AG32"/>
      <c r="AH32"/>
      <c r="AI32"/>
      <c r="AJ32"/>
      <c r="AK32"/>
    </row>
    <row r="33" spans="1:37" ht="18">
      <c r="A33" s="33" t="str">
        <f>A338</f>
        <v>Summary of Unhedged Versus Hedged Note Interest</v>
      </c>
      <c r="O33"/>
      <c r="P33" s="199">
        <v>37256</v>
      </c>
      <c r="Q33" s="1"/>
      <c r="R33" s="1" t="s">
        <v>35</v>
      </c>
      <c r="S33" s="1" t="s">
        <v>107</v>
      </c>
      <c r="T33" s="386" t="s">
        <v>5</v>
      </c>
      <c r="U33" s="386"/>
      <c r="V33" s="1" t="s">
        <v>37</v>
      </c>
      <c r="W33"/>
      <c r="X33" s="1" t="s">
        <v>30</v>
      </c>
      <c r="Y33" s="199">
        <f>P33</f>
        <v>37256</v>
      </c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3.5" customHeight="1">
      <c r="A34" s="33" t="s">
        <v>21</v>
      </c>
      <c r="B34" s="280" t="str">
        <f aca="true" t="shared" si="32" ref="B34:D35">B339</f>
        <v>Unhedged</v>
      </c>
      <c r="C34" s="280" t="str">
        <f t="shared" si="32"/>
        <v>Foreign</v>
      </c>
      <c r="D34" s="280" t="str">
        <f t="shared" si="32"/>
        <v>Change in</v>
      </c>
      <c r="E34" s="34" t="s">
        <v>21</v>
      </c>
      <c r="O34"/>
      <c r="P34" s="1" t="s">
        <v>54</v>
      </c>
      <c r="Q34" s="1" t="s">
        <v>35</v>
      </c>
      <c r="R34" s="1" t="s">
        <v>64</v>
      </c>
      <c r="S34" s="1" t="s">
        <v>108</v>
      </c>
      <c r="T34" s="1" t="s">
        <v>59</v>
      </c>
      <c r="U34" s="1" t="s">
        <v>60</v>
      </c>
      <c r="V34" s="80" t="s">
        <v>110</v>
      </c>
      <c r="W34"/>
      <c r="X34" s="80" t="s">
        <v>5</v>
      </c>
      <c r="Y34" s="1" t="s">
        <v>5</v>
      </c>
      <c r="Z34"/>
      <c r="AA34"/>
      <c r="AB34"/>
      <c r="AC34"/>
      <c r="AD34" s="49"/>
      <c r="AE34" s="49"/>
      <c r="AF34" s="49"/>
      <c r="AG34" s="49"/>
      <c r="AH34" s="49"/>
      <c r="AI34" s="49"/>
      <c r="AJ34"/>
      <c r="AK34"/>
    </row>
    <row r="35" spans="1:37" ht="13.5" customHeight="1">
      <c r="A35" s="33" t="s">
        <v>21</v>
      </c>
      <c r="B35" s="281" t="str">
        <f t="shared" si="32"/>
        <v>Note</v>
      </c>
      <c r="C35" s="281" t="str">
        <f t="shared" si="32"/>
        <v>Currency</v>
      </c>
      <c r="D35" s="281" t="str">
        <f t="shared" si="32"/>
        <v>Retained</v>
      </c>
      <c r="E35" s="34" t="s">
        <v>21</v>
      </c>
      <c r="O35" s="133" t="s">
        <v>56</v>
      </c>
      <c r="P35" s="133" t="s">
        <v>55</v>
      </c>
      <c r="Q35" s="133" t="s">
        <v>67</v>
      </c>
      <c r="R35" s="133" t="s">
        <v>57</v>
      </c>
      <c r="S35" s="133" t="s">
        <v>26</v>
      </c>
      <c r="T35" s="134" t="s">
        <v>41</v>
      </c>
      <c r="U35" s="134" t="s">
        <v>109</v>
      </c>
      <c r="V35" s="134" t="s">
        <v>111</v>
      </c>
      <c r="W35" s="134" t="s">
        <v>68</v>
      </c>
      <c r="X35" s="134" t="s">
        <v>65</v>
      </c>
      <c r="Y35" s="134" t="s">
        <v>25</v>
      </c>
      <c r="Z35"/>
      <c r="AA35"/>
      <c r="AB35"/>
      <c r="AC35"/>
      <c r="AD35" s="49"/>
      <c r="AE35" s="49"/>
      <c r="AF35" s="133" t="s">
        <v>58</v>
      </c>
      <c r="AG35" s="133" t="s">
        <v>70</v>
      </c>
      <c r="AH35" s="49"/>
      <c r="AI35" s="49"/>
      <c r="AJ35"/>
      <c r="AK35"/>
    </row>
    <row r="36" spans="1:37" ht="12.75" customHeight="1">
      <c r="A36" s="33" t="s">
        <v>21</v>
      </c>
      <c r="B36" s="282" t="str">
        <f aca="true" t="shared" si="33" ref="B36:D43">B341</f>
        <v>Interest</v>
      </c>
      <c r="C36" s="282" t="str">
        <f t="shared" si="33"/>
        <v>Swap</v>
      </c>
      <c r="D36" s="283" t="str">
        <f t="shared" si="33"/>
        <v>Earnings</v>
      </c>
      <c r="G36"/>
      <c r="H36"/>
      <c r="O36" s="135">
        <v>37073</v>
      </c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/>
      <c r="AA36"/>
      <c r="AB36"/>
      <c r="AC36"/>
      <c r="AD36" s="49"/>
      <c r="AE36" s="49"/>
      <c r="AF36" s="136"/>
      <c r="AG36" s="136"/>
      <c r="AH36" s="49"/>
      <c r="AI36" s="49"/>
      <c r="AJ36"/>
      <c r="AK36"/>
    </row>
    <row r="37" spans="1:37" ht="12.75">
      <c r="A37" s="87">
        <f aca="true" t="shared" si="34" ref="A37:A43">A342</f>
        <v>37073</v>
      </c>
      <c r="B37" s="284">
        <f t="shared" si="33"/>
        <v>296662.54635352286</v>
      </c>
      <c r="C37" s="284">
        <f t="shared" si="33"/>
        <v>-4586.835599505575</v>
      </c>
      <c r="D37" s="284">
        <f t="shared" si="33"/>
        <v>301249.38195302844</v>
      </c>
      <c r="G37"/>
      <c r="H37"/>
      <c r="O37" s="135">
        <v>37164</v>
      </c>
      <c r="P37" s="160">
        <f aca="true" t="shared" si="35" ref="P37:P44">W$3</f>
        <v>0.102</v>
      </c>
      <c r="Q37" s="137">
        <f>+P37/4</f>
        <v>0.0255</v>
      </c>
      <c r="R37" s="137">
        <f>+Q37</f>
        <v>0.0255</v>
      </c>
      <c r="S37" s="259">
        <f>S23</f>
        <v>2</v>
      </c>
      <c r="T37" s="162">
        <f>Q37*W$2/S37</f>
        <v>254999.99999999997</v>
      </c>
      <c r="U37" s="162">
        <f>X$2*X$3/4</f>
        <v>256750</v>
      </c>
      <c r="V37" s="162">
        <f>+(R37)*W$2/S37</f>
        <v>254999.99999999997</v>
      </c>
      <c r="W37" s="162">
        <f>+T37-U37+V37</f>
        <v>253249.99999999994</v>
      </c>
      <c r="X37" s="4">
        <f>+W37-V37</f>
        <v>-1750.000000000029</v>
      </c>
      <c r="Y37" s="170">
        <v>0</v>
      </c>
      <c r="Z37"/>
      <c r="AA37"/>
      <c r="AB37"/>
      <c r="AC37"/>
      <c r="AD37" s="49"/>
      <c r="AE37" s="49"/>
      <c r="AF37" s="138">
        <v>0</v>
      </c>
      <c r="AG37" s="139">
        <f aca="true" t="shared" si="36" ref="AG37:AG44">+(1+Q37)^AF37</f>
        <v>1</v>
      </c>
      <c r="AH37" s="49"/>
      <c r="AI37" s="49"/>
      <c r="AJ37"/>
      <c r="AK37"/>
    </row>
    <row r="38" spans="1:37" ht="12.75">
      <c r="A38" s="88">
        <f t="shared" si="34"/>
        <v>37164</v>
      </c>
      <c r="B38" s="285">
        <f t="shared" si="33"/>
        <v>297766.7493796526</v>
      </c>
      <c r="C38" s="285">
        <f t="shared" si="33"/>
        <v>-3648.2630272953247</v>
      </c>
      <c r="D38" s="285">
        <f t="shared" si="33"/>
        <v>301415.0124069479</v>
      </c>
      <c r="G38"/>
      <c r="H38"/>
      <c r="O38" s="141">
        <v>37256</v>
      </c>
      <c r="P38" s="160">
        <f t="shared" si="35"/>
        <v>0.102</v>
      </c>
      <c r="Q38" s="137">
        <f aca="true" t="shared" si="37" ref="Q38:Q44">+P38/4</f>
        <v>0.0255</v>
      </c>
      <c r="R38" s="137">
        <f>+Q38</f>
        <v>0.0255</v>
      </c>
      <c r="S38" s="259">
        <f>S24</f>
        <v>1.9985</v>
      </c>
      <c r="T38" s="162">
        <f aca="true" t="shared" si="38" ref="T38:T44">Q38*W$2/S38</f>
        <v>255191.39354515885</v>
      </c>
      <c r="U38" s="162">
        <f aca="true" t="shared" si="39" ref="U38:U44">X$2*X$3/4</f>
        <v>256750</v>
      </c>
      <c r="V38" s="162">
        <f aca="true" t="shared" si="40" ref="V38:V44">+(R38)*W$2/S38</f>
        <v>255191.39354515885</v>
      </c>
      <c r="W38" s="162">
        <f aca="true" t="shared" si="41" ref="W38:W44">+T38-U38+V38</f>
        <v>253632.7870903177</v>
      </c>
      <c r="X38" s="4">
        <f aca="true" t="shared" si="42" ref="X38:X44">+W38-V38</f>
        <v>-1558.6064548411523</v>
      </c>
      <c r="Y38" s="170">
        <v>0</v>
      </c>
      <c r="Z38"/>
      <c r="AA38"/>
      <c r="AB38"/>
      <c r="AC38"/>
      <c r="AD38" s="49"/>
      <c r="AE38" s="49"/>
      <c r="AF38" s="140">
        <v>0</v>
      </c>
      <c r="AG38" s="139">
        <f t="shared" si="36"/>
        <v>1</v>
      </c>
      <c r="AH38" s="49"/>
      <c r="AI38" s="49"/>
      <c r="AJ38"/>
      <c r="AK38"/>
    </row>
    <row r="39" spans="1:37" ht="12.75">
      <c r="A39" s="89">
        <f t="shared" si="34"/>
        <v>37256</v>
      </c>
      <c r="B39" s="286">
        <f t="shared" si="33"/>
        <v>301886.7924528302</v>
      </c>
      <c r="C39" s="286">
        <f t="shared" si="33"/>
        <v>-146.22641509436653</v>
      </c>
      <c r="D39" s="286">
        <f t="shared" si="33"/>
        <v>302033.0188679246</v>
      </c>
      <c r="G39"/>
      <c r="H39"/>
      <c r="O39" s="141">
        <v>37346</v>
      </c>
      <c r="P39" s="160">
        <f t="shared" si="35"/>
        <v>0.102</v>
      </c>
      <c r="Q39" s="137">
        <f t="shared" si="37"/>
        <v>0.0255</v>
      </c>
      <c r="R39" s="137">
        <f>+Q39</f>
        <v>0.0255</v>
      </c>
      <c r="S39" s="259">
        <f aca="true" t="shared" si="43" ref="S39:S44">E121</f>
        <v>1.9875</v>
      </c>
      <c r="T39" s="162">
        <f t="shared" si="38"/>
        <v>256603.77358490563</v>
      </c>
      <c r="U39" s="162">
        <f t="shared" si="39"/>
        <v>256750</v>
      </c>
      <c r="V39" s="162">
        <f t="shared" si="40"/>
        <v>256603.77358490563</v>
      </c>
      <c r="W39" s="162">
        <f t="shared" si="41"/>
        <v>256457.54716981127</v>
      </c>
      <c r="X39" s="4">
        <f t="shared" si="42"/>
        <v>-146.22641509436653</v>
      </c>
      <c r="Y39" s="170">
        <f aca="true" t="shared" si="44" ref="Y39:Y44">+X39/(1+Q39)^AF39</f>
        <v>-142.59036089162996</v>
      </c>
      <c r="Z39"/>
      <c r="AA39"/>
      <c r="AB39"/>
      <c r="AC39"/>
      <c r="AD39" s="49"/>
      <c r="AE39" s="49"/>
      <c r="AF39" s="140">
        <f aca="true" t="shared" si="45" ref="AF39:AF44">1+AF38</f>
        <v>1</v>
      </c>
      <c r="AG39" s="139">
        <f t="shared" si="36"/>
        <v>1.0255</v>
      </c>
      <c r="AH39" s="49"/>
      <c r="AI39" s="49"/>
      <c r="AJ39"/>
      <c r="AK39"/>
    </row>
    <row r="40" spans="1:37" ht="12.75">
      <c r="A40" s="90">
        <f t="shared" si="34"/>
        <v>37346</v>
      </c>
      <c r="B40" s="287">
        <f t="shared" si="33"/>
        <v>303797.46835443034</v>
      </c>
      <c r="C40" s="287">
        <f t="shared" si="33"/>
        <v>1477.8481012657867</v>
      </c>
      <c r="D40" s="287">
        <f t="shared" si="33"/>
        <v>302319.62025316455</v>
      </c>
      <c r="G40"/>
      <c r="H40"/>
      <c r="O40" s="141">
        <v>37437</v>
      </c>
      <c r="P40" s="160">
        <f t="shared" si="35"/>
        <v>0.102</v>
      </c>
      <c r="Q40" s="137">
        <f t="shared" si="37"/>
        <v>0.0255</v>
      </c>
      <c r="R40" s="137">
        <f>+AG40/AG39-1</f>
        <v>0.025500000000000078</v>
      </c>
      <c r="S40" s="259">
        <f t="shared" si="43"/>
        <v>1.9825</v>
      </c>
      <c r="T40" s="162">
        <f t="shared" si="38"/>
        <v>257250.94577553592</v>
      </c>
      <c r="U40" s="162">
        <f t="shared" si="39"/>
        <v>256750</v>
      </c>
      <c r="V40" s="162">
        <f t="shared" si="40"/>
        <v>257250.94577553673</v>
      </c>
      <c r="W40" s="162">
        <f t="shared" si="41"/>
        <v>257751.89155107265</v>
      </c>
      <c r="X40" s="4">
        <f t="shared" si="42"/>
        <v>500.9457755359181</v>
      </c>
      <c r="Y40" s="170">
        <f t="shared" si="44"/>
        <v>476.3425630678241</v>
      </c>
      <c r="Z40"/>
      <c r="AA40"/>
      <c r="AB40"/>
      <c r="AC40"/>
      <c r="AD40" s="49"/>
      <c r="AE40" s="49"/>
      <c r="AF40" s="140">
        <f t="shared" si="45"/>
        <v>2</v>
      </c>
      <c r="AG40" s="139">
        <f t="shared" si="36"/>
        <v>1.0516502500000002</v>
      </c>
      <c r="AH40" s="49"/>
      <c r="AI40" s="49"/>
      <c r="AJ40"/>
      <c r="AK40"/>
    </row>
    <row r="41" spans="1:37" ht="12.75">
      <c r="A41" s="91">
        <f t="shared" si="34"/>
        <v>37437</v>
      </c>
      <c r="B41" s="288">
        <f t="shared" si="33"/>
        <v>304800.60960121924</v>
      </c>
      <c r="C41" s="288">
        <f t="shared" si="33"/>
        <v>2330.518161036307</v>
      </c>
      <c r="D41" s="288">
        <f t="shared" si="33"/>
        <v>302470.09144018294</v>
      </c>
      <c r="G41"/>
      <c r="H41"/>
      <c r="O41" s="141">
        <v>37529</v>
      </c>
      <c r="P41" s="160">
        <f t="shared" si="35"/>
        <v>0.102</v>
      </c>
      <c r="Q41" s="137">
        <f t="shared" si="37"/>
        <v>0.0255</v>
      </c>
      <c r="R41" s="137">
        <f>+AG41/AG40-1</f>
        <v>0.025500000000000078</v>
      </c>
      <c r="S41" s="259">
        <f t="shared" si="43"/>
        <v>1.98</v>
      </c>
      <c r="T41" s="162">
        <f t="shared" si="38"/>
        <v>257575.75757575754</v>
      </c>
      <c r="U41" s="162">
        <f t="shared" si="39"/>
        <v>256750</v>
      </c>
      <c r="V41" s="162">
        <f t="shared" si="40"/>
        <v>257575.75757575838</v>
      </c>
      <c r="W41" s="162">
        <f t="shared" si="41"/>
        <v>258401.51515151592</v>
      </c>
      <c r="X41" s="4">
        <f t="shared" si="42"/>
        <v>825.7575757575396</v>
      </c>
      <c r="Y41" s="170">
        <f t="shared" si="44"/>
        <v>765.6769488833135</v>
      </c>
      <c r="Z41"/>
      <c r="AA41"/>
      <c r="AB41"/>
      <c r="AC41"/>
      <c r="AD41" s="49"/>
      <c r="AE41" s="49"/>
      <c r="AF41" s="140">
        <f t="shared" si="45"/>
        <v>3</v>
      </c>
      <c r="AG41" s="139">
        <f t="shared" si="36"/>
        <v>1.0784673313750004</v>
      </c>
      <c r="AH41" s="49"/>
      <c r="AI41" s="49"/>
      <c r="AJ41"/>
      <c r="AK41"/>
    </row>
    <row r="42" spans="1:37" ht="12.75">
      <c r="A42" s="92">
        <f t="shared" si="34"/>
        <v>37529</v>
      </c>
      <c r="B42" s="289">
        <f t="shared" si="33"/>
        <v>308008.2135523614</v>
      </c>
      <c r="C42" s="289">
        <f t="shared" si="33"/>
        <v>5056.981519507157</v>
      </c>
      <c r="D42" s="289">
        <f t="shared" si="33"/>
        <v>302951.2320328542</v>
      </c>
      <c r="G42"/>
      <c r="H42"/>
      <c r="O42" s="141">
        <v>37621</v>
      </c>
      <c r="P42" s="160">
        <f t="shared" si="35"/>
        <v>0.102</v>
      </c>
      <c r="Q42" s="137">
        <f t="shared" si="37"/>
        <v>0.0255</v>
      </c>
      <c r="R42" s="137">
        <f>+AG42/AG41-1</f>
        <v>0.025500000000000078</v>
      </c>
      <c r="S42" s="259">
        <f t="shared" si="43"/>
        <v>1.9775</v>
      </c>
      <c r="T42" s="162">
        <f t="shared" si="38"/>
        <v>257901.39064475344</v>
      </c>
      <c r="U42" s="162">
        <f t="shared" si="39"/>
        <v>256750</v>
      </c>
      <c r="V42" s="162">
        <f t="shared" si="40"/>
        <v>257901.39064475425</v>
      </c>
      <c r="W42" s="162">
        <f t="shared" si="41"/>
        <v>259052.7812895077</v>
      </c>
      <c r="X42" s="4">
        <f t="shared" si="42"/>
        <v>1151.3906447534391</v>
      </c>
      <c r="Y42" s="170">
        <f t="shared" si="44"/>
        <v>1041.07025359649</v>
      </c>
      <c r="Z42"/>
      <c r="AA42"/>
      <c r="AB42"/>
      <c r="AC42"/>
      <c r="AD42" s="49"/>
      <c r="AE42" s="49"/>
      <c r="AF42" s="140">
        <f t="shared" si="45"/>
        <v>4</v>
      </c>
      <c r="AG42" s="139">
        <f t="shared" si="36"/>
        <v>1.105968248325063</v>
      </c>
      <c r="AH42" s="49"/>
      <c r="AI42" s="49"/>
      <c r="AJ42"/>
      <c r="AK42"/>
    </row>
    <row r="43" spans="1:37" ht="12.75">
      <c r="A43" s="93">
        <f t="shared" si="34"/>
        <v>37621</v>
      </c>
      <c r="B43" s="290">
        <f t="shared" si="33"/>
        <v>310478.65459249675</v>
      </c>
      <c r="C43" s="290">
        <f t="shared" si="33"/>
        <v>7156.856403622194</v>
      </c>
      <c r="D43" s="290">
        <f t="shared" si="33"/>
        <v>303321.79818887456</v>
      </c>
      <c r="G43"/>
      <c r="H43"/>
      <c r="O43" s="141">
        <v>37711</v>
      </c>
      <c r="P43" s="160">
        <f t="shared" si="35"/>
        <v>0.102</v>
      </c>
      <c r="Q43" s="137">
        <f t="shared" si="37"/>
        <v>0.0255</v>
      </c>
      <c r="R43" s="137">
        <f>+AG43/AG42-1</f>
        <v>0.025500000000000078</v>
      </c>
      <c r="S43" s="259">
        <f t="shared" si="43"/>
        <v>1.975</v>
      </c>
      <c r="T43" s="162">
        <f t="shared" si="38"/>
        <v>258227.8481012658</v>
      </c>
      <c r="U43" s="162">
        <f t="shared" si="39"/>
        <v>256750</v>
      </c>
      <c r="V43" s="162">
        <f t="shared" si="40"/>
        <v>258227.8481012666</v>
      </c>
      <c r="W43" s="162">
        <f t="shared" si="41"/>
        <v>259705.6962025324</v>
      </c>
      <c r="X43" s="4">
        <f t="shared" si="42"/>
        <v>1477.8481012657867</v>
      </c>
      <c r="Y43" s="170">
        <f t="shared" si="44"/>
        <v>1303.0211782060599</v>
      </c>
      <c r="Z43"/>
      <c r="AA43"/>
      <c r="AB43"/>
      <c r="AC43"/>
      <c r="AD43" s="49"/>
      <c r="AE43" s="49"/>
      <c r="AF43" s="140">
        <f t="shared" si="45"/>
        <v>5</v>
      </c>
      <c r="AG43" s="139">
        <f t="shared" si="36"/>
        <v>1.1341704386573521</v>
      </c>
      <c r="AH43" s="49"/>
      <c r="AI43" s="49"/>
      <c r="AJ43"/>
      <c r="AK43"/>
    </row>
    <row r="44" spans="1:37" ht="13.5" thickBot="1">
      <c r="A44" s="94">
        <f aca="true" t="shared" si="46" ref="A44:D45">A349</f>
        <v>37711</v>
      </c>
      <c r="B44" s="291">
        <f t="shared" si="46"/>
        <v>310880.82901554403</v>
      </c>
      <c r="C44" s="291">
        <f t="shared" si="46"/>
        <v>7498.704663212411</v>
      </c>
      <c r="D44" s="291">
        <f t="shared" si="46"/>
        <v>303382.1243523316</v>
      </c>
      <c r="G44"/>
      <c r="H44"/>
      <c r="O44" s="164">
        <v>37802</v>
      </c>
      <c r="P44" s="347">
        <f t="shared" si="35"/>
        <v>0.102</v>
      </c>
      <c r="Q44" s="142">
        <f t="shared" si="37"/>
        <v>0.0255</v>
      </c>
      <c r="R44" s="142">
        <f>+AG44/AG43-1</f>
        <v>0.0255000000000003</v>
      </c>
      <c r="S44" s="260">
        <f t="shared" si="43"/>
        <v>1.9725</v>
      </c>
      <c r="T44" s="165">
        <f t="shared" si="38"/>
        <v>258555.1330798479</v>
      </c>
      <c r="U44" s="165">
        <f t="shared" si="39"/>
        <v>256750</v>
      </c>
      <c r="V44" s="165">
        <f t="shared" si="40"/>
        <v>258555.13307985096</v>
      </c>
      <c r="W44" s="165">
        <f t="shared" si="41"/>
        <v>260360.26615969886</v>
      </c>
      <c r="X44" s="166">
        <f t="shared" si="42"/>
        <v>1805.133079847903</v>
      </c>
      <c r="Y44" s="170">
        <f t="shared" si="44"/>
        <v>1552.0125783464207</v>
      </c>
      <c r="Z44"/>
      <c r="AA44"/>
      <c r="AB44"/>
      <c r="AC44"/>
      <c r="AD44"/>
      <c r="AE44" s="49"/>
      <c r="AF44" s="143">
        <f t="shared" si="45"/>
        <v>6</v>
      </c>
      <c r="AG44" s="144">
        <f t="shared" si="36"/>
        <v>1.1630917848431148</v>
      </c>
      <c r="AH44" s="49"/>
      <c r="AI44" s="49"/>
      <c r="AJ44"/>
      <c r="AK44"/>
    </row>
    <row r="45" spans="1:37" ht="14.25" thickBot="1" thickTop="1">
      <c r="A45" s="279" t="str">
        <f t="shared" si="46"/>
        <v>Total =</v>
      </c>
      <c r="B45" s="278">
        <f t="shared" si="46"/>
        <v>2434281.863302057</v>
      </c>
      <c r="C45" s="278">
        <f t="shared" si="46"/>
        <v>15139.58380674859</v>
      </c>
      <c r="D45" s="278">
        <f t="shared" si="46"/>
        <v>2419142.2794953086</v>
      </c>
      <c r="E45" s="277" t="s">
        <v>21</v>
      </c>
      <c r="G45"/>
      <c r="H45"/>
      <c r="O45" t="s">
        <v>61</v>
      </c>
      <c r="P45"/>
      <c r="Q45"/>
      <c r="R45"/>
      <c r="S45"/>
      <c r="T45"/>
      <c r="U45" s="162"/>
      <c r="V45" s="162"/>
      <c r="W45" s="162"/>
      <c r="X45" s="4">
        <f>SUM(X37:X44)</f>
        <v>2306.2423072250385</v>
      </c>
      <c r="Y45" s="171">
        <f>SUM(Y39:Y44)</f>
        <v>4995.533161208478</v>
      </c>
      <c r="Z45"/>
      <c r="AA45" s="147">
        <v>0.001164894722190242</v>
      </c>
      <c r="AB45"/>
      <c r="AC45" s="58" t="s">
        <v>72</v>
      </c>
      <c r="AD45" s="49"/>
      <c r="AE45" s="49"/>
      <c r="AF45" s="49"/>
      <c r="AG45" s="49"/>
      <c r="AH45" s="49"/>
      <c r="AI45" s="49"/>
      <c r="AJ45"/>
      <c r="AK45"/>
    </row>
    <row r="46" spans="1:37" ht="13.5" thickTop="1">
      <c r="A46"/>
      <c r="B46"/>
      <c r="C46"/>
      <c r="D46" s="37" t="s">
        <v>21</v>
      </c>
      <c r="E46"/>
      <c r="G46"/>
      <c r="H46"/>
      <c r="O46"/>
      <c r="P46"/>
      <c r="Q46" s="1"/>
      <c r="R46"/>
      <c r="S46"/>
      <c r="T46"/>
      <c r="U46"/>
      <c r="V46"/>
      <c r="W46"/>
      <c r="X46"/>
      <c r="Y46" s="1"/>
      <c r="Z46"/>
      <c r="AA46"/>
      <c r="AB46" s="42">
        <f>P47</f>
        <v>37346</v>
      </c>
      <c r="AC46"/>
      <c r="AD46" s="49"/>
      <c r="AE46" s="49"/>
      <c r="AF46" s="49"/>
      <c r="AG46" s="49"/>
      <c r="AH46" s="49"/>
      <c r="AI46" s="49"/>
      <c r="AJ46"/>
      <c r="AK46"/>
    </row>
    <row r="47" spans="1:37" ht="12.75">
      <c r="A47"/>
      <c r="B47"/>
      <c r="C47"/>
      <c r="D47"/>
      <c r="E47"/>
      <c r="G47"/>
      <c r="H47"/>
      <c r="O47"/>
      <c r="P47" s="198">
        <v>37346</v>
      </c>
      <c r="Q47" s="1"/>
      <c r="R47" s="1" t="s">
        <v>35</v>
      </c>
      <c r="S47" s="1" t="s">
        <v>107</v>
      </c>
      <c r="T47" s="386" t="s">
        <v>5</v>
      </c>
      <c r="U47" s="386"/>
      <c r="V47" s="1" t="s">
        <v>37</v>
      </c>
      <c r="W47"/>
      <c r="X47" s="1" t="s">
        <v>30</v>
      </c>
      <c r="Y47" s="198">
        <f>P47</f>
        <v>37346</v>
      </c>
      <c r="Z47"/>
      <c r="AA47"/>
      <c r="AB47"/>
      <c r="AC47"/>
      <c r="AD47" s="49"/>
      <c r="AE47" s="49"/>
      <c r="AF47" s="49"/>
      <c r="AG47" s="49"/>
      <c r="AH47" s="49"/>
      <c r="AI47" s="49"/>
      <c r="AJ47"/>
      <c r="AK47"/>
    </row>
    <row r="48" spans="1:37" ht="12.75">
      <c r="A48"/>
      <c r="B48"/>
      <c r="C48"/>
      <c r="D48"/>
      <c r="E48"/>
      <c r="G48"/>
      <c r="H48"/>
      <c r="O48"/>
      <c r="P48" s="1" t="s">
        <v>54</v>
      </c>
      <c r="Q48" s="1" t="s">
        <v>35</v>
      </c>
      <c r="R48" s="1" t="s">
        <v>64</v>
      </c>
      <c r="S48" s="1" t="s">
        <v>108</v>
      </c>
      <c r="T48" s="1" t="s">
        <v>59</v>
      </c>
      <c r="U48" s="1" t="s">
        <v>60</v>
      </c>
      <c r="V48" s="80" t="s">
        <v>110</v>
      </c>
      <c r="W48"/>
      <c r="X48" s="80" t="s">
        <v>5</v>
      </c>
      <c r="Y48" s="1" t="s">
        <v>5</v>
      </c>
      <c r="Z48"/>
      <c r="AA48"/>
      <c r="AB48"/>
      <c r="AC48"/>
      <c r="AD48" s="49"/>
      <c r="AE48" s="49"/>
      <c r="AF48"/>
      <c r="AG48"/>
      <c r="AH48" s="49"/>
      <c r="AI48" s="49"/>
      <c r="AJ48"/>
      <c r="AK48"/>
    </row>
    <row r="49" spans="1:37" ht="15.75">
      <c r="A49" s="292" t="s">
        <v>128</v>
      </c>
      <c r="B49"/>
      <c r="C49"/>
      <c r="D49"/>
      <c r="E49"/>
      <c r="G49"/>
      <c r="H49"/>
      <c r="O49" s="133" t="s">
        <v>56</v>
      </c>
      <c r="P49" s="133" t="s">
        <v>55</v>
      </c>
      <c r="Q49" s="133" t="s">
        <v>67</v>
      </c>
      <c r="R49" s="133" t="s">
        <v>57</v>
      </c>
      <c r="S49" s="133" t="s">
        <v>26</v>
      </c>
      <c r="T49" s="134" t="s">
        <v>41</v>
      </c>
      <c r="U49" s="134" t="s">
        <v>109</v>
      </c>
      <c r="V49" s="134" t="s">
        <v>111</v>
      </c>
      <c r="W49" s="134" t="s">
        <v>68</v>
      </c>
      <c r="X49" s="134" t="s">
        <v>65</v>
      </c>
      <c r="Y49" s="134" t="s">
        <v>25</v>
      </c>
      <c r="Z49"/>
      <c r="AA49"/>
      <c r="AB49"/>
      <c r="AC49"/>
      <c r="AD49" s="49"/>
      <c r="AE49" s="49"/>
      <c r="AF49" s="133" t="s">
        <v>58</v>
      </c>
      <c r="AG49" s="133" t="s">
        <v>70</v>
      </c>
      <c r="AH49" s="49"/>
      <c r="AI49" s="49"/>
      <c r="AJ49"/>
      <c r="AK49"/>
    </row>
    <row r="50" spans="1:37" ht="15.75">
      <c r="A50" s="292" t="s">
        <v>131</v>
      </c>
      <c r="B50" s="293"/>
      <c r="C50" s="293"/>
      <c r="D50" s="293"/>
      <c r="E50" s="293"/>
      <c r="O50" s="135">
        <v>37073</v>
      </c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/>
      <c r="AA50"/>
      <c r="AB50"/>
      <c r="AC50"/>
      <c r="AD50" s="49"/>
      <c r="AE50" s="49"/>
      <c r="AF50" s="136"/>
      <c r="AG50" s="136"/>
      <c r="AH50" s="49"/>
      <c r="AI50" s="49"/>
      <c r="AJ50"/>
      <c r="AK50"/>
    </row>
    <row r="51" spans="1:37" ht="15.75">
      <c r="A51" s="293"/>
      <c r="B51" s="293"/>
      <c r="C51" s="293"/>
      <c r="D51" s="293"/>
      <c r="E51" s="293"/>
      <c r="O51" s="135">
        <v>37164</v>
      </c>
      <c r="P51" s="156">
        <f aca="true" t="shared" si="47" ref="P51:P58">W$3</f>
        <v>0.102</v>
      </c>
      <c r="Q51" s="137">
        <f>+P51/4</f>
        <v>0.0255</v>
      </c>
      <c r="R51" s="137">
        <f>+Q51</f>
        <v>0.0255</v>
      </c>
      <c r="S51" s="259">
        <f>S37</f>
        <v>2</v>
      </c>
      <c r="T51" s="162">
        <f>Q51*W$2/S51</f>
        <v>254999.99999999997</v>
      </c>
      <c r="U51" s="162">
        <f>X$2*X$3/4</f>
        <v>256750</v>
      </c>
      <c r="V51" s="162">
        <f>+(R51)*W$2/S51</f>
        <v>254999.99999999997</v>
      </c>
      <c r="W51" s="162">
        <f>+T51-U51+V51</f>
        <v>253249.99999999994</v>
      </c>
      <c r="X51" s="4">
        <f>+W51-V51</f>
        <v>-1750.000000000029</v>
      </c>
      <c r="Y51" s="181">
        <v>0</v>
      </c>
      <c r="Z51"/>
      <c r="AA51"/>
      <c r="AB51"/>
      <c r="AC51"/>
      <c r="AD51" s="49"/>
      <c r="AE51" s="49"/>
      <c r="AF51" s="138">
        <v>0</v>
      </c>
      <c r="AG51" s="139">
        <f aca="true" t="shared" si="48" ref="AG51:AG58">+(1+Q51)^AF51</f>
        <v>1</v>
      </c>
      <c r="AH51" s="49"/>
      <c r="AI51" s="49"/>
      <c r="AJ51"/>
      <c r="AK51"/>
    </row>
    <row r="52" spans="1:37" ht="15.75">
      <c r="A52" s="294" t="s">
        <v>129</v>
      </c>
      <c r="B52" s="293"/>
      <c r="C52" s="293"/>
      <c r="D52" s="293"/>
      <c r="E52" s="293"/>
      <c r="O52" s="141">
        <v>37256</v>
      </c>
      <c r="P52" s="156">
        <f t="shared" si="47"/>
        <v>0.102</v>
      </c>
      <c r="Q52" s="137">
        <f aca="true" t="shared" si="49" ref="Q52:Q58">+P52/4</f>
        <v>0.0255</v>
      </c>
      <c r="R52" s="137">
        <f>+Q52</f>
        <v>0.0255</v>
      </c>
      <c r="S52" s="259">
        <f>S38</f>
        <v>1.9985</v>
      </c>
      <c r="T52" s="162">
        <f aca="true" t="shared" si="50" ref="T52:T58">Q52*W$2/S52</f>
        <v>255191.39354515885</v>
      </c>
      <c r="U52" s="162">
        <f aca="true" t="shared" si="51" ref="U52:U58">X$2*X$3/4</f>
        <v>256750</v>
      </c>
      <c r="V52" s="162">
        <f aca="true" t="shared" si="52" ref="V52:V58">+(R52)*W$2/S52</f>
        <v>255191.39354515885</v>
      </c>
      <c r="W52" s="162">
        <f aca="true" t="shared" si="53" ref="W52:W58">+T52-U52+V52</f>
        <v>253632.7870903177</v>
      </c>
      <c r="X52" s="4">
        <f aca="true" t="shared" si="54" ref="X52:X58">+W52-V52</f>
        <v>-1558.6064548411523</v>
      </c>
      <c r="Y52" s="181">
        <v>0</v>
      </c>
      <c r="Z52"/>
      <c r="AA52"/>
      <c r="AB52"/>
      <c r="AC52"/>
      <c r="AD52" s="49"/>
      <c r="AE52" s="49"/>
      <c r="AF52" s="140">
        <v>0</v>
      </c>
      <c r="AG52" s="139">
        <f t="shared" si="48"/>
        <v>1</v>
      </c>
      <c r="AH52" s="49"/>
      <c r="AI52" s="49"/>
      <c r="AJ52"/>
      <c r="AK52"/>
    </row>
    <row r="53" spans="1:37" ht="15.75">
      <c r="A53" s="294" t="s">
        <v>231</v>
      </c>
      <c r="B53"/>
      <c r="C53"/>
      <c r="D53"/>
      <c r="E53"/>
      <c r="F53"/>
      <c r="G53"/>
      <c r="O53" s="180">
        <v>37346</v>
      </c>
      <c r="P53" s="156">
        <f t="shared" si="47"/>
        <v>0.102</v>
      </c>
      <c r="Q53" s="137">
        <f t="shared" si="49"/>
        <v>0.0255</v>
      </c>
      <c r="R53" s="137">
        <f>+Q53</f>
        <v>0.0255</v>
      </c>
      <c r="S53" s="259">
        <f>S39</f>
        <v>1.9875</v>
      </c>
      <c r="T53" s="162">
        <f t="shared" si="50"/>
        <v>256603.77358490563</v>
      </c>
      <c r="U53" s="162">
        <f t="shared" si="51"/>
        <v>256750</v>
      </c>
      <c r="V53" s="162">
        <f t="shared" si="52"/>
        <v>256603.77358490563</v>
      </c>
      <c r="W53" s="162">
        <f t="shared" si="53"/>
        <v>256457.54716981127</v>
      </c>
      <c r="X53" s="4">
        <f t="shared" si="54"/>
        <v>-146.22641509436653</v>
      </c>
      <c r="Y53" s="181">
        <v>0</v>
      </c>
      <c r="Z53"/>
      <c r="AA53"/>
      <c r="AB53"/>
      <c r="AC53"/>
      <c r="AD53" s="49"/>
      <c r="AE53" s="49"/>
      <c r="AF53" s="140">
        <v>0</v>
      </c>
      <c r="AG53" s="139">
        <f t="shared" si="48"/>
        <v>1</v>
      </c>
      <c r="AH53" s="49"/>
      <c r="AI53" s="49"/>
      <c r="AJ53"/>
      <c r="AK53"/>
    </row>
    <row r="54" spans="1:37" ht="15.75">
      <c r="A54" s="294" t="s">
        <v>130</v>
      </c>
      <c r="B54"/>
      <c r="C54"/>
      <c r="D54"/>
      <c r="E54"/>
      <c r="F54"/>
      <c r="G54"/>
      <c r="O54" s="141">
        <v>37437</v>
      </c>
      <c r="P54" s="156">
        <f t="shared" si="47"/>
        <v>0.102</v>
      </c>
      <c r="Q54" s="137">
        <f t="shared" si="49"/>
        <v>0.0255</v>
      </c>
      <c r="R54" s="137">
        <f>+Q54</f>
        <v>0.0255</v>
      </c>
      <c r="S54" s="259">
        <f>F122</f>
        <v>1.9825</v>
      </c>
      <c r="T54" s="162">
        <f t="shared" si="50"/>
        <v>257250.94577553592</v>
      </c>
      <c r="U54" s="162">
        <f t="shared" si="51"/>
        <v>256750</v>
      </c>
      <c r="V54" s="162">
        <f t="shared" si="52"/>
        <v>257250.94577553592</v>
      </c>
      <c r="W54" s="162">
        <f t="shared" si="53"/>
        <v>257751.89155107184</v>
      </c>
      <c r="X54" s="4">
        <f t="shared" si="54"/>
        <v>500.9457755359181</v>
      </c>
      <c r="Y54" s="181">
        <f>+X54/(1+Q54)^AF54</f>
        <v>488.48929842605367</v>
      </c>
      <c r="Z54"/>
      <c r="AA54"/>
      <c r="AB54"/>
      <c r="AC54"/>
      <c r="AD54" s="49"/>
      <c r="AE54" s="49"/>
      <c r="AF54" s="140">
        <f>1+AF53</f>
        <v>1</v>
      </c>
      <c r="AG54" s="139">
        <f t="shared" si="48"/>
        <v>1.0255</v>
      </c>
      <c r="AH54" s="49"/>
      <c r="AI54" s="49"/>
      <c r="AJ54"/>
      <c r="AK54"/>
    </row>
    <row r="55" spans="1:37" ht="15.75">
      <c r="A55" s="294" t="s">
        <v>132</v>
      </c>
      <c r="B55"/>
      <c r="C55"/>
      <c r="D55"/>
      <c r="E55"/>
      <c r="F55"/>
      <c r="G55"/>
      <c r="O55" s="141">
        <v>37529</v>
      </c>
      <c r="P55" s="156">
        <f t="shared" si="47"/>
        <v>0.102</v>
      </c>
      <c r="Q55" s="137">
        <f t="shared" si="49"/>
        <v>0.0255</v>
      </c>
      <c r="R55" s="137">
        <f>+AG55/AG54-1</f>
        <v>0.025500000000000078</v>
      </c>
      <c r="S55" s="259">
        <f>F123</f>
        <v>1.9815</v>
      </c>
      <c r="T55" s="162">
        <f t="shared" si="50"/>
        <v>257380.7721423164</v>
      </c>
      <c r="U55" s="162">
        <f t="shared" si="51"/>
        <v>256750</v>
      </c>
      <c r="V55" s="162">
        <f t="shared" si="52"/>
        <v>257380.7721423172</v>
      </c>
      <c r="W55" s="162">
        <f t="shared" si="53"/>
        <v>258011.5442846336</v>
      </c>
      <c r="X55" s="4">
        <f t="shared" si="54"/>
        <v>630.7721423163894</v>
      </c>
      <c r="Y55" s="181">
        <f>+X55/(1+Q55)^AF55</f>
        <v>599.7926994420334</v>
      </c>
      <c r="Z55"/>
      <c r="AA55"/>
      <c r="AB55"/>
      <c r="AC55"/>
      <c r="AD55" s="49"/>
      <c r="AE55" s="49"/>
      <c r="AF55" s="140">
        <f>1+AF54</f>
        <v>2</v>
      </c>
      <c r="AG55" s="139">
        <f t="shared" si="48"/>
        <v>1.0516502500000002</v>
      </c>
      <c r="AH55" s="49"/>
      <c r="AI55" s="49"/>
      <c r="AJ55"/>
      <c r="AK55"/>
    </row>
    <row r="56" spans="1:37" ht="15.75">
      <c r="A56" s="294" t="s">
        <v>133</v>
      </c>
      <c r="B56" s="293"/>
      <c r="C56" s="293"/>
      <c r="D56" s="293"/>
      <c r="E56" s="293"/>
      <c r="O56" s="141">
        <v>37621</v>
      </c>
      <c r="P56" s="156">
        <f t="shared" si="47"/>
        <v>0.102</v>
      </c>
      <c r="Q56" s="137">
        <f t="shared" si="49"/>
        <v>0.0255</v>
      </c>
      <c r="R56" s="137">
        <f>+AG56/AG55-1</f>
        <v>0.025500000000000078</v>
      </c>
      <c r="S56" s="259">
        <f>F124</f>
        <v>1.975</v>
      </c>
      <c r="T56" s="162">
        <f t="shared" si="50"/>
        <v>258227.8481012658</v>
      </c>
      <c r="U56" s="162">
        <f t="shared" si="51"/>
        <v>256750</v>
      </c>
      <c r="V56" s="162">
        <f t="shared" si="52"/>
        <v>258227.8481012666</v>
      </c>
      <c r="W56" s="162">
        <f t="shared" si="53"/>
        <v>259705.6962025324</v>
      </c>
      <c r="X56" s="4">
        <f t="shared" si="54"/>
        <v>1477.8481012657867</v>
      </c>
      <c r="Y56" s="181">
        <f>+X56/(1+Q56)^AF56</f>
        <v>1370.3225478156976</v>
      </c>
      <c r="Z56"/>
      <c r="AA56"/>
      <c r="AB56"/>
      <c r="AC56"/>
      <c r="AD56" s="49"/>
      <c r="AE56" s="49"/>
      <c r="AF56" s="140">
        <f>1+AF55</f>
        <v>3</v>
      </c>
      <c r="AG56" s="139">
        <f t="shared" si="48"/>
        <v>1.0784673313750004</v>
      </c>
      <c r="AH56" s="49"/>
      <c r="AI56" s="49"/>
      <c r="AJ56"/>
      <c r="AK56"/>
    </row>
    <row r="57" spans="1:37" ht="15.75">
      <c r="A57" s="294" t="s">
        <v>134</v>
      </c>
      <c r="B57" s="293"/>
      <c r="C57" s="293"/>
      <c r="D57" s="293"/>
      <c r="E57" s="293"/>
      <c r="O57" s="141">
        <v>37711</v>
      </c>
      <c r="P57" s="156">
        <f t="shared" si="47"/>
        <v>0.102</v>
      </c>
      <c r="Q57" s="137">
        <f t="shared" si="49"/>
        <v>0.0255</v>
      </c>
      <c r="R57" s="137">
        <f>+AG57/AG56-1</f>
        <v>0.025500000000000078</v>
      </c>
      <c r="S57" s="259">
        <f>F125</f>
        <v>1.9725</v>
      </c>
      <c r="T57" s="162">
        <f t="shared" si="50"/>
        <v>258555.1330798479</v>
      </c>
      <c r="U57" s="162">
        <f t="shared" si="51"/>
        <v>256750</v>
      </c>
      <c r="V57" s="162">
        <f t="shared" si="52"/>
        <v>258555.13307984872</v>
      </c>
      <c r="W57" s="162">
        <f t="shared" si="53"/>
        <v>260360.26615969662</v>
      </c>
      <c r="X57" s="4">
        <f t="shared" si="54"/>
        <v>1805.133079847903</v>
      </c>
      <c r="Y57" s="181">
        <f>+X57/(1+Q57)^AF57</f>
        <v>1632.174416021158</v>
      </c>
      <c r="Z57"/>
      <c r="AA57"/>
      <c r="AB57"/>
      <c r="AC57"/>
      <c r="AD57" s="49"/>
      <c r="AE57" s="49"/>
      <c r="AF57" s="140">
        <f>1+AF56</f>
        <v>4</v>
      </c>
      <c r="AG57" s="139">
        <f t="shared" si="48"/>
        <v>1.105968248325063</v>
      </c>
      <c r="AH57" s="49"/>
      <c r="AI57" s="49"/>
      <c r="AJ57"/>
      <c r="AK57"/>
    </row>
    <row r="58" spans="1:37" ht="16.5" thickBot="1">
      <c r="A58" s="294"/>
      <c r="B58" s="293"/>
      <c r="C58" s="293"/>
      <c r="D58" s="293"/>
      <c r="E58" s="293"/>
      <c r="O58" s="164">
        <v>37802</v>
      </c>
      <c r="P58" s="346">
        <f t="shared" si="47"/>
        <v>0.102</v>
      </c>
      <c r="Q58" s="142">
        <f t="shared" si="49"/>
        <v>0.0255</v>
      </c>
      <c r="R58" s="142">
        <f>+AG58/AG57-1</f>
        <v>0.025500000000000078</v>
      </c>
      <c r="S58" s="260">
        <f>F126</f>
        <v>1.97</v>
      </c>
      <c r="T58" s="165">
        <f t="shared" si="50"/>
        <v>258883.24873096443</v>
      </c>
      <c r="U58" s="165">
        <f t="shared" si="51"/>
        <v>256750</v>
      </c>
      <c r="V58" s="165">
        <f t="shared" si="52"/>
        <v>258883.24873096528</v>
      </c>
      <c r="W58" s="165">
        <f t="shared" si="53"/>
        <v>261016.4974619297</v>
      </c>
      <c r="X58" s="166">
        <f t="shared" si="54"/>
        <v>2133.248730964435</v>
      </c>
      <c r="Y58" s="181">
        <f>+X58/(1+Q58)^AF58</f>
        <v>1880.8890253653644</v>
      </c>
      <c r="Z58"/>
      <c r="AA58"/>
      <c r="AB58"/>
      <c r="AC58"/>
      <c r="AD58" s="49"/>
      <c r="AE58" s="49"/>
      <c r="AF58" s="143">
        <f>1+AF57</f>
        <v>5</v>
      </c>
      <c r="AG58" s="144">
        <f t="shared" si="48"/>
        <v>1.1341704386573521</v>
      </c>
      <c r="AH58" s="49"/>
      <c r="AI58" s="49"/>
      <c r="AJ58"/>
      <c r="AK58"/>
    </row>
    <row r="59" spans="1:37" ht="16.5" thickBot="1">
      <c r="A59" s="294" t="s">
        <v>252</v>
      </c>
      <c r="B59" s="293"/>
      <c r="C59" s="293"/>
      <c r="D59" s="293"/>
      <c r="E59" s="293"/>
      <c r="O59" t="s">
        <v>61</v>
      </c>
      <c r="P59"/>
      <c r="Q59"/>
      <c r="R59"/>
      <c r="S59"/>
      <c r="T59"/>
      <c r="U59" s="162"/>
      <c r="V59" s="162"/>
      <c r="W59" s="162"/>
      <c r="X59" s="4">
        <f>SUM(X51:X58)</f>
        <v>3093.114959994884</v>
      </c>
      <c r="Y59" s="182">
        <f>SUM(Y54:Y58)</f>
        <v>5971.667987070307</v>
      </c>
      <c r="Z59"/>
      <c r="AA59" s="147">
        <v>0.0011739002304177054</v>
      </c>
      <c r="AB59"/>
      <c r="AC59" s="58" t="s">
        <v>73</v>
      </c>
      <c r="AD59" s="49"/>
      <c r="AE59" s="49"/>
      <c r="AF59"/>
      <c r="AG59"/>
      <c r="AH59" s="49"/>
      <c r="AI59" s="49"/>
      <c r="AJ59"/>
      <c r="AK59"/>
    </row>
    <row r="60" spans="1:37" ht="15.75">
      <c r="A60" s="294" t="s">
        <v>135</v>
      </c>
      <c r="O60" s="145" t="s">
        <v>21</v>
      </c>
      <c r="P60" s="146"/>
      <c r="Q60"/>
      <c r="R60"/>
      <c r="S60"/>
      <c r="T60"/>
      <c r="U60"/>
      <c r="V60"/>
      <c r="W60"/>
      <c r="X60"/>
      <c r="Y60"/>
      <c r="Z60"/>
      <c r="AA60"/>
      <c r="AB60"/>
      <c r="AC60"/>
      <c r="AD60" s="49"/>
      <c r="AE60" s="49"/>
      <c r="AF60" s="49"/>
      <c r="AG60" s="49"/>
      <c r="AH60" s="49"/>
      <c r="AI60" s="49"/>
      <c r="AJ60"/>
      <c r="AK60"/>
    </row>
    <row r="61" spans="1:37" ht="15.75">
      <c r="A61" s="294" t="s">
        <v>136</v>
      </c>
      <c r="O61"/>
      <c r="P61" s="197">
        <v>37437</v>
      </c>
      <c r="Q61" s="1"/>
      <c r="R61" s="1" t="s">
        <v>35</v>
      </c>
      <c r="S61" s="1" t="s">
        <v>107</v>
      </c>
      <c r="T61" s="386" t="s">
        <v>5</v>
      </c>
      <c r="U61" s="386"/>
      <c r="V61" s="1" t="s">
        <v>37</v>
      </c>
      <c r="W61"/>
      <c r="X61" s="1" t="s">
        <v>30</v>
      </c>
      <c r="Y61" s="197">
        <f>P61</f>
        <v>37437</v>
      </c>
      <c r="Z61"/>
      <c r="AA61"/>
      <c r="AB61"/>
      <c r="AC61"/>
      <c r="AD61" s="49"/>
      <c r="AE61" s="49"/>
      <c r="AF61" s="49"/>
      <c r="AG61" s="49"/>
      <c r="AH61" s="49"/>
      <c r="AI61" s="49"/>
      <c r="AJ61"/>
      <c r="AK61"/>
    </row>
    <row r="62" spans="15:37" ht="12.75">
      <c r="O62"/>
      <c r="P62" s="1" t="s">
        <v>54</v>
      </c>
      <c r="Q62" s="1" t="s">
        <v>35</v>
      </c>
      <c r="R62" s="1" t="s">
        <v>64</v>
      </c>
      <c r="S62" s="1" t="s">
        <v>108</v>
      </c>
      <c r="T62" s="1" t="s">
        <v>59</v>
      </c>
      <c r="U62" s="1" t="s">
        <v>60</v>
      </c>
      <c r="V62" s="80" t="s">
        <v>110</v>
      </c>
      <c r="W62"/>
      <c r="X62" s="80" t="s">
        <v>5</v>
      </c>
      <c r="Y62" s="1" t="s">
        <v>5</v>
      </c>
      <c r="Z62"/>
      <c r="AA62"/>
      <c r="AB62"/>
      <c r="AC62"/>
      <c r="AD62" s="49"/>
      <c r="AE62" s="49"/>
      <c r="AF62" s="49"/>
      <c r="AG62" s="49"/>
      <c r="AH62" s="49"/>
      <c r="AI62" s="49"/>
      <c r="AJ62"/>
      <c r="AK62"/>
    </row>
    <row r="63" spans="1:37" ht="12.75">
      <c r="A63" s="71" t="s">
        <v>137</v>
      </c>
      <c r="O63" s="133" t="s">
        <v>56</v>
      </c>
      <c r="P63" s="133" t="s">
        <v>55</v>
      </c>
      <c r="Q63" s="133" t="s">
        <v>67</v>
      </c>
      <c r="R63" s="133" t="s">
        <v>57</v>
      </c>
      <c r="S63" s="133" t="s">
        <v>26</v>
      </c>
      <c r="T63" s="134" t="s">
        <v>41</v>
      </c>
      <c r="U63" s="134" t="s">
        <v>109</v>
      </c>
      <c r="V63" s="134" t="s">
        <v>111</v>
      </c>
      <c r="W63" s="134" t="s">
        <v>68</v>
      </c>
      <c r="X63" s="134" t="s">
        <v>65</v>
      </c>
      <c r="Y63" s="134" t="s">
        <v>25</v>
      </c>
      <c r="Z63"/>
      <c r="AA63"/>
      <c r="AB63"/>
      <c r="AC63"/>
      <c r="AD63" s="49"/>
      <c r="AE63" s="49"/>
      <c r="AF63" s="133" t="s">
        <v>58</v>
      </c>
      <c r="AG63" s="133" t="s">
        <v>70</v>
      </c>
      <c r="AH63" s="49"/>
      <c r="AI63" s="49"/>
      <c r="AJ63"/>
      <c r="AK63"/>
    </row>
    <row r="64" spans="1:37" ht="12.75">
      <c r="A64" s="71" t="s">
        <v>232</v>
      </c>
      <c r="O64" s="135">
        <v>37073</v>
      </c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/>
      <c r="AA64"/>
      <c r="AB64"/>
      <c r="AC64"/>
      <c r="AD64" s="49"/>
      <c r="AE64" s="49"/>
      <c r="AF64" s="136"/>
      <c r="AG64" s="136"/>
      <c r="AH64" s="49"/>
      <c r="AI64" s="49"/>
      <c r="AJ64"/>
      <c r="AK64"/>
    </row>
    <row r="65" spans="15:37" ht="12.75">
      <c r="O65" s="135">
        <v>37164</v>
      </c>
      <c r="P65" s="157">
        <f aca="true" t="shared" si="55" ref="P65:P72">W$3</f>
        <v>0.102</v>
      </c>
      <c r="Q65" s="137">
        <f>+P65/4</f>
        <v>0.0255</v>
      </c>
      <c r="R65" s="137">
        <f>+Q65</f>
        <v>0.0255</v>
      </c>
      <c r="S65" s="259">
        <f>S51</f>
        <v>2</v>
      </c>
      <c r="T65" s="162">
        <f>Q65*W$2/S65</f>
        <v>254999.99999999997</v>
      </c>
      <c r="U65" s="162">
        <f>X$2*X$3/4</f>
        <v>256750</v>
      </c>
      <c r="V65" s="162">
        <f>+(R65)*W$2/S65</f>
        <v>254999.99999999997</v>
      </c>
      <c r="W65" s="162">
        <f>+T65-U65+V65</f>
        <v>253249.99999999994</v>
      </c>
      <c r="X65" s="4">
        <f>+W65-V65</f>
        <v>-1750.000000000029</v>
      </c>
      <c r="Y65" s="184">
        <v>0</v>
      </c>
      <c r="Z65"/>
      <c r="AA65"/>
      <c r="AB65"/>
      <c r="AC65"/>
      <c r="AD65" s="49"/>
      <c r="AE65" s="49"/>
      <c r="AF65" s="138">
        <v>0</v>
      </c>
      <c r="AG65" s="139">
        <f aca="true" t="shared" si="56" ref="AG65:AG72">+(1+Q65)^AF65</f>
        <v>1</v>
      </c>
      <c r="AH65" s="49"/>
      <c r="AI65" s="49"/>
      <c r="AJ65"/>
      <c r="AK65"/>
    </row>
    <row r="66" spans="15:37" ht="12.75">
      <c r="O66" s="141">
        <v>37256</v>
      </c>
      <c r="P66" s="157">
        <f t="shared" si="55"/>
        <v>0.102</v>
      </c>
      <c r="Q66" s="137">
        <f aca="true" t="shared" si="57" ref="Q66:Q72">+P66/4</f>
        <v>0.0255</v>
      </c>
      <c r="R66" s="137">
        <f>+Q66</f>
        <v>0.0255</v>
      </c>
      <c r="S66" s="259">
        <f>S52</f>
        <v>1.9985</v>
      </c>
      <c r="T66" s="162">
        <f aca="true" t="shared" si="58" ref="T66:T72">Q66*W$2/S66</f>
        <v>255191.39354515885</v>
      </c>
      <c r="U66" s="162">
        <f aca="true" t="shared" si="59" ref="U66:U72">X$2*X$3/4</f>
        <v>256750</v>
      </c>
      <c r="V66" s="162">
        <f aca="true" t="shared" si="60" ref="V66:V72">+(R66)*W$2/S66</f>
        <v>255191.39354515885</v>
      </c>
      <c r="W66" s="162">
        <f aca="true" t="shared" si="61" ref="W66:W72">+T66-U66+V66</f>
        <v>253632.7870903177</v>
      </c>
      <c r="X66" s="4">
        <f aca="true" t="shared" si="62" ref="X66:X72">+W66-V66</f>
        <v>-1558.6064548411523</v>
      </c>
      <c r="Y66" s="184">
        <v>0</v>
      </c>
      <c r="Z66"/>
      <c r="AA66"/>
      <c r="AB66"/>
      <c r="AC66"/>
      <c r="AD66" s="49"/>
      <c r="AE66" s="49"/>
      <c r="AF66" s="140">
        <v>0</v>
      </c>
      <c r="AG66" s="139">
        <f t="shared" si="56"/>
        <v>1</v>
      </c>
      <c r="AH66" s="49"/>
      <c r="AI66" s="49"/>
      <c r="AJ66"/>
      <c r="AK66"/>
    </row>
    <row r="67" spans="1:37" ht="12.75">
      <c r="A67" s="43" t="s">
        <v>283</v>
      </c>
      <c r="E67"/>
      <c r="F67"/>
      <c r="G67" s="46" t="s">
        <v>248</v>
      </c>
      <c r="H67" s="46" t="s">
        <v>284</v>
      </c>
      <c r="I67" s="46" t="s">
        <v>21</v>
      </c>
      <c r="J67" s="46" t="s">
        <v>21</v>
      </c>
      <c r="K67" s="329"/>
      <c r="L67"/>
      <c r="O67" s="141">
        <v>37346</v>
      </c>
      <c r="P67" s="157">
        <f t="shared" si="55"/>
        <v>0.102</v>
      </c>
      <c r="Q67" s="137">
        <f t="shared" si="57"/>
        <v>0.0255</v>
      </c>
      <c r="R67" s="137">
        <f>+Q67</f>
        <v>0.0255</v>
      </c>
      <c r="S67" s="259">
        <f>S53</f>
        <v>1.9875</v>
      </c>
      <c r="T67" s="162">
        <f t="shared" si="58"/>
        <v>256603.77358490563</v>
      </c>
      <c r="U67" s="162">
        <f t="shared" si="59"/>
        <v>256750</v>
      </c>
      <c r="V67" s="162">
        <f t="shared" si="60"/>
        <v>256603.77358490563</v>
      </c>
      <c r="W67" s="162">
        <f t="shared" si="61"/>
        <v>256457.54716981127</v>
      </c>
      <c r="X67" s="4">
        <f t="shared" si="62"/>
        <v>-146.22641509436653</v>
      </c>
      <c r="Y67" s="184">
        <v>0</v>
      </c>
      <c r="Z67"/>
      <c r="AA67"/>
      <c r="AB67"/>
      <c r="AC67"/>
      <c r="AD67" s="49"/>
      <c r="AE67" s="49"/>
      <c r="AF67" s="140">
        <v>0</v>
      </c>
      <c r="AG67" s="139">
        <f t="shared" si="56"/>
        <v>1</v>
      </c>
      <c r="AH67" s="49"/>
      <c r="AI67" s="49"/>
      <c r="AJ67"/>
      <c r="AK67"/>
    </row>
    <row r="68" spans="6:37" ht="12.75">
      <c r="F68" s="295" t="s">
        <v>237</v>
      </c>
      <c r="G68" s="309">
        <v>0.12</v>
      </c>
      <c r="H68" s="305">
        <f>G$68</f>
        <v>0.12</v>
      </c>
      <c r="I68" s="365">
        <f>G68</f>
        <v>0.12</v>
      </c>
      <c r="J68" s="365">
        <f>G68</f>
        <v>0.12</v>
      </c>
      <c r="K68" s="370" t="s">
        <v>285</v>
      </c>
      <c r="L68"/>
      <c r="O68" s="183">
        <v>37437</v>
      </c>
      <c r="P68" s="157">
        <f t="shared" si="55"/>
        <v>0.102</v>
      </c>
      <c r="Q68" s="137">
        <f t="shared" si="57"/>
        <v>0.0255</v>
      </c>
      <c r="R68" s="137">
        <f>+Q68</f>
        <v>0.0255</v>
      </c>
      <c r="S68" s="259">
        <f>S54</f>
        <v>1.9825</v>
      </c>
      <c r="T68" s="162">
        <f t="shared" si="58"/>
        <v>257250.94577553592</v>
      </c>
      <c r="U68" s="162">
        <f t="shared" si="59"/>
        <v>256750</v>
      </c>
      <c r="V68" s="162">
        <f t="shared" si="60"/>
        <v>257250.94577553592</v>
      </c>
      <c r="W68" s="162">
        <f t="shared" si="61"/>
        <v>257751.89155107184</v>
      </c>
      <c r="X68" s="4">
        <f t="shared" si="62"/>
        <v>500.9457755359181</v>
      </c>
      <c r="Y68" s="184">
        <v>0</v>
      </c>
      <c r="Z68"/>
      <c r="AA68"/>
      <c r="AB68"/>
      <c r="AC68"/>
      <c r="AD68" s="49"/>
      <c r="AE68" s="49"/>
      <c r="AF68" s="140">
        <v>0</v>
      </c>
      <c r="AG68" s="139">
        <f t="shared" si="56"/>
        <v>1</v>
      </c>
      <c r="AH68" s="49"/>
      <c r="AI68" s="49"/>
      <c r="AJ68"/>
      <c r="AK68"/>
    </row>
    <row r="69" spans="1:37" ht="15.75">
      <c r="A69" s="100"/>
      <c r="B69" s="15" t="s">
        <v>63</v>
      </c>
      <c r="C69" s="269" t="s">
        <v>36</v>
      </c>
      <c r="D69" s="269" t="s">
        <v>37</v>
      </c>
      <c r="E69" s="269" t="s">
        <v>19</v>
      </c>
      <c r="F69" s="273" t="s">
        <v>239</v>
      </c>
      <c r="G69" s="306" t="s">
        <v>286</v>
      </c>
      <c r="H69" s="306" t="s">
        <v>263</v>
      </c>
      <c r="I69" s="306" t="s">
        <v>151</v>
      </c>
      <c r="J69" s="306" t="s">
        <v>152</v>
      </c>
      <c r="K69" s="372" t="s">
        <v>287</v>
      </c>
      <c r="L69"/>
      <c r="O69" s="141">
        <v>37529</v>
      </c>
      <c r="P69" s="157">
        <f t="shared" si="55"/>
        <v>0.102</v>
      </c>
      <c r="Q69" s="137">
        <f t="shared" si="57"/>
        <v>0.0255</v>
      </c>
      <c r="R69" s="137">
        <f>+Q69</f>
        <v>0.0255</v>
      </c>
      <c r="S69" s="259">
        <f>G123</f>
        <v>1.975</v>
      </c>
      <c r="T69" s="162">
        <f t="shared" si="58"/>
        <v>258227.8481012658</v>
      </c>
      <c r="U69" s="162">
        <f t="shared" si="59"/>
        <v>256750</v>
      </c>
      <c r="V69" s="162">
        <f t="shared" si="60"/>
        <v>258227.8481012658</v>
      </c>
      <c r="W69" s="162">
        <f t="shared" si="61"/>
        <v>259705.69620253157</v>
      </c>
      <c r="X69" s="4">
        <f t="shared" si="62"/>
        <v>1477.8481012657867</v>
      </c>
      <c r="Y69" s="184">
        <f>+X69/(1+Q69)^AF69</f>
        <v>1441.1000499910156</v>
      </c>
      <c r="Z69"/>
      <c r="AA69"/>
      <c r="AB69"/>
      <c r="AC69"/>
      <c r="AD69" s="49"/>
      <c r="AE69" s="49"/>
      <c r="AF69" s="140">
        <f>1+AF68</f>
        <v>1</v>
      </c>
      <c r="AG69" s="139">
        <f t="shared" si="56"/>
        <v>1.0255</v>
      </c>
      <c r="AH69" s="49"/>
      <c r="AI69" s="49"/>
      <c r="AJ69"/>
      <c r="AK69"/>
    </row>
    <row r="70" spans="1:37" ht="15.75">
      <c r="A70" s="101"/>
      <c r="B70" s="18" t="s">
        <v>94</v>
      </c>
      <c r="C70" s="270" t="s">
        <v>24</v>
      </c>
      <c r="D70" s="270" t="s">
        <v>24</v>
      </c>
      <c r="E70" s="270" t="s">
        <v>24</v>
      </c>
      <c r="F70" s="272" t="s">
        <v>240</v>
      </c>
      <c r="G70" s="356">
        <f>X$3</f>
        <v>0.1027</v>
      </c>
      <c r="H70" s="356" t="s">
        <v>5</v>
      </c>
      <c r="I70" s="306" t="s">
        <v>149</v>
      </c>
      <c r="J70" s="306" t="s">
        <v>149</v>
      </c>
      <c r="K70" s="274" t="s">
        <v>37</v>
      </c>
      <c r="L70"/>
      <c r="O70" s="141">
        <v>37621</v>
      </c>
      <c r="P70" s="157">
        <f t="shared" si="55"/>
        <v>0.102</v>
      </c>
      <c r="Q70" s="137">
        <f t="shared" si="57"/>
        <v>0.0255</v>
      </c>
      <c r="R70" s="137">
        <f>+AG70/AG69-1</f>
        <v>0.025500000000000078</v>
      </c>
      <c r="S70" s="259">
        <f>G124</f>
        <v>1.9725</v>
      </c>
      <c r="T70" s="162">
        <f t="shared" si="58"/>
        <v>258555.1330798479</v>
      </c>
      <c r="U70" s="162">
        <f t="shared" si="59"/>
        <v>256750</v>
      </c>
      <c r="V70" s="162">
        <f t="shared" si="60"/>
        <v>258555.13307984872</v>
      </c>
      <c r="W70" s="162">
        <f t="shared" si="61"/>
        <v>260360.26615969662</v>
      </c>
      <c r="X70" s="4">
        <f t="shared" si="62"/>
        <v>1805.133079847903</v>
      </c>
      <c r="Y70" s="184">
        <f>+X70/(1+Q70)^AF70</f>
        <v>1716.4766326522554</v>
      </c>
      <c r="Z70"/>
      <c r="AA70"/>
      <c r="AB70"/>
      <c r="AC70"/>
      <c r="AD70" s="49"/>
      <c r="AE70" s="49"/>
      <c r="AF70" s="140">
        <f>1+AF69</f>
        <v>2</v>
      </c>
      <c r="AG70" s="139">
        <f t="shared" si="56"/>
        <v>1.0516502500000002</v>
      </c>
      <c r="AH70" s="49"/>
      <c r="AI70" s="49"/>
      <c r="AJ70"/>
      <c r="AK70"/>
    </row>
    <row r="71" spans="1:37" ht="15.75">
      <c r="A71" s="21" t="s">
        <v>20</v>
      </c>
      <c r="B71" s="22" t="s">
        <v>26</v>
      </c>
      <c r="C71" s="271" t="s">
        <v>123</v>
      </c>
      <c r="D71" s="271" t="s">
        <v>123</v>
      </c>
      <c r="E71" s="271" t="s">
        <v>123</v>
      </c>
      <c r="F71" s="275" t="s">
        <v>241</v>
      </c>
      <c r="G71" s="307" t="s">
        <v>236</v>
      </c>
      <c r="H71" s="307" t="s">
        <v>236</v>
      </c>
      <c r="I71" s="307" t="s">
        <v>150</v>
      </c>
      <c r="J71" s="307" t="s">
        <v>150</v>
      </c>
      <c r="K71" s="276" t="s">
        <v>40</v>
      </c>
      <c r="L71"/>
      <c r="O71" s="141">
        <v>37711</v>
      </c>
      <c r="P71" s="157">
        <f t="shared" si="55"/>
        <v>0.102</v>
      </c>
      <c r="Q71" s="137">
        <f t="shared" si="57"/>
        <v>0.0255</v>
      </c>
      <c r="R71" s="137">
        <f>+AG71/AG70-1</f>
        <v>0.025500000000000078</v>
      </c>
      <c r="S71" s="259">
        <f>G125</f>
        <v>1.9675</v>
      </c>
      <c r="T71" s="162">
        <f t="shared" si="58"/>
        <v>259212.19822109272</v>
      </c>
      <c r="U71" s="162">
        <f t="shared" si="59"/>
        <v>256750</v>
      </c>
      <c r="V71" s="162">
        <f t="shared" si="60"/>
        <v>259212.19822109354</v>
      </c>
      <c r="W71" s="162">
        <f t="shared" si="61"/>
        <v>261674.39644218626</v>
      </c>
      <c r="X71" s="4">
        <f t="shared" si="62"/>
        <v>2462.1982210927235</v>
      </c>
      <c r="Y71" s="184">
        <f>+X71/(1+Q71)^AF71</f>
        <v>2283.05313426001</v>
      </c>
      <c r="Z71"/>
      <c r="AA71"/>
      <c r="AB71"/>
      <c r="AC71"/>
      <c r="AD71" s="49"/>
      <c r="AE71" s="49"/>
      <c r="AF71" s="140">
        <f>1+AF70</f>
        <v>3</v>
      </c>
      <c r="AG71" s="139">
        <f t="shared" si="56"/>
        <v>1.0784673313750004</v>
      </c>
      <c r="AH71" s="49"/>
      <c r="AI71" s="49"/>
      <c r="AJ71"/>
      <c r="AK71"/>
    </row>
    <row r="72" spans="1:37" ht="13.5" thickBot="1">
      <c r="A72" s="153">
        <f>E22</f>
        <v>37073</v>
      </c>
      <c r="B72" s="205">
        <f>B22</f>
        <v>2</v>
      </c>
      <c r="C72" s="261" t="s">
        <v>21</v>
      </c>
      <c r="D72" s="205" t="s">
        <v>21</v>
      </c>
      <c r="E72" s="249" t="s">
        <v>21</v>
      </c>
      <c r="F72" s="249" t="s">
        <v>21</v>
      </c>
      <c r="G72" s="249" t="s">
        <v>21</v>
      </c>
      <c r="H72" s="249" t="s">
        <v>21</v>
      </c>
      <c r="I72" s="249" t="s">
        <v>21</v>
      </c>
      <c r="J72" s="249" t="s">
        <v>21</v>
      </c>
      <c r="K72" s="249" t="s">
        <v>21</v>
      </c>
      <c r="L72"/>
      <c r="O72" s="164">
        <v>37802</v>
      </c>
      <c r="P72" s="345">
        <f t="shared" si="55"/>
        <v>0.102</v>
      </c>
      <c r="Q72" s="142">
        <f t="shared" si="57"/>
        <v>0.0255</v>
      </c>
      <c r="R72" s="142">
        <f>+AG72/AG71-1</f>
        <v>0.025500000000000078</v>
      </c>
      <c r="S72" s="260">
        <f>G126</f>
        <v>1.95</v>
      </c>
      <c r="T72" s="165">
        <f t="shared" si="58"/>
        <v>261538.4615384615</v>
      </c>
      <c r="U72" s="165">
        <f t="shared" si="59"/>
        <v>256750</v>
      </c>
      <c r="V72" s="165">
        <f t="shared" si="60"/>
        <v>261538.46153846235</v>
      </c>
      <c r="W72" s="165">
        <f t="shared" si="61"/>
        <v>266326.9230769238</v>
      </c>
      <c r="X72" s="166">
        <f t="shared" si="62"/>
        <v>4788.4615384614735</v>
      </c>
      <c r="Y72" s="184">
        <f>+X72/(1+Q72)^AF72</f>
        <v>4329.655526470469</v>
      </c>
      <c r="Z72"/>
      <c r="AA72"/>
      <c r="AB72"/>
      <c r="AC72"/>
      <c r="AD72" s="49"/>
      <c r="AE72" s="49"/>
      <c r="AF72" s="143">
        <f>1+AF71</f>
        <v>4</v>
      </c>
      <c r="AG72" s="144">
        <f t="shared" si="56"/>
        <v>1.105968248325063</v>
      </c>
      <c r="AH72" s="49"/>
      <c r="AI72" s="49"/>
      <c r="AJ72"/>
      <c r="AK72"/>
    </row>
    <row r="73" spans="1:37" ht="13.5" thickBot="1">
      <c r="A73" s="93">
        <f aca="true" t="shared" si="63" ref="A73:A80">E23</f>
        <v>37164</v>
      </c>
      <c r="B73" s="206">
        <f aca="true" t="shared" si="64" ref="B73:B80">B23</f>
        <v>2.0225</v>
      </c>
      <c r="C73" s="322">
        <f>D22*(G68-W3)/4</f>
        <v>90000.00000000001</v>
      </c>
      <c r="D73" s="262">
        <f>IF(C73&gt;0,(D22*(G68)/4-C73),(D22*(G68)/4))</f>
        <v>510000</v>
      </c>
      <c r="E73" s="314">
        <f>D22*F22</f>
        <v>600000</v>
      </c>
      <c r="F73" s="333">
        <f>W$3</f>
        <v>0.102</v>
      </c>
      <c r="G73" s="250">
        <f>J23</f>
        <v>252163.16440049442</v>
      </c>
      <c r="H73" s="250">
        <f>D73/B73</f>
        <v>252163.16440049445</v>
      </c>
      <c r="I73" s="250">
        <f>IF(C73&lt;0,M89,0)</f>
        <v>0</v>
      </c>
      <c r="J73" s="250">
        <f>IF(C73&gt;0,M89,0)</f>
        <v>44499.38195302844</v>
      </c>
      <c r="K73" s="250">
        <f>M89</f>
        <v>44499.38195302844</v>
      </c>
      <c r="L73"/>
      <c r="O73" t="s">
        <v>61</v>
      </c>
      <c r="P73"/>
      <c r="Q73"/>
      <c r="R73"/>
      <c r="S73"/>
      <c r="T73"/>
      <c r="U73" s="162"/>
      <c r="V73" s="162"/>
      <c r="W73" s="162"/>
      <c r="X73" s="4">
        <f>SUM(X65:X72)</f>
        <v>7579.753846268257</v>
      </c>
      <c r="Y73" s="185">
        <f>SUM(Y69:Y72)</f>
        <v>9770.285343373751</v>
      </c>
      <c r="Z73"/>
      <c r="AA73" s="147">
        <v>0.001174049094051904</v>
      </c>
      <c r="AB73"/>
      <c r="AC73" s="36" t="e">
        <f>+#REF!</f>
        <v>#REF!</v>
      </c>
      <c r="AD73" t="s">
        <v>62</v>
      </c>
      <c r="AE73" s="49"/>
      <c r="AF73" s="49"/>
      <c r="AG73" s="49"/>
      <c r="AH73" s="49"/>
      <c r="AI73" s="49"/>
      <c r="AJ73"/>
      <c r="AK73"/>
    </row>
    <row r="74" spans="1:37" ht="12.75">
      <c r="A74" s="154">
        <f t="shared" si="63"/>
        <v>37256</v>
      </c>
      <c r="B74" s="207">
        <f t="shared" si="64"/>
        <v>2.015</v>
      </c>
      <c r="C74" s="323">
        <f>C73</f>
        <v>90000.00000000001</v>
      </c>
      <c r="D74" s="263">
        <f>D73</f>
        <v>510000</v>
      </c>
      <c r="E74" s="315">
        <f aca="true" t="shared" si="65" ref="E74:E80">D23*F23</f>
        <v>600000</v>
      </c>
      <c r="F74" s="334">
        <f aca="true" t="shared" si="66" ref="F74:F80">W$3</f>
        <v>0.102</v>
      </c>
      <c r="G74" s="251">
        <f aca="true" t="shared" si="67" ref="G74:G80">J24</f>
        <v>253101.73697270468</v>
      </c>
      <c r="H74" s="251">
        <f aca="true" t="shared" si="68" ref="H74:H80">D74/B74</f>
        <v>253101.7369727047</v>
      </c>
      <c r="I74" s="251">
        <f aca="true" t="shared" si="69" ref="I74:I80">IF(C74&lt;0,M90,0)</f>
        <v>0</v>
      </c>
      <c r="J74" s="251">
        <f aca="true" t="shared" si="70" ref="J74:J80">IF(C74&gt;0,M90,0)</f>
        <v>44665.012406947935</v>
      </c>
      <c r="K74" s="251">
        <f aca="true" t="shared" si="71" ref="K74:K80">M90</f>
        <v>44665.012406947935</v>
      </c>
      <c r="L74"/>
      <c r="O74"/>
      <c r="P74"/>
      <c r="Q74" s="1"/>
      <c r="R74"/>
      <c r="S74"/>
      <c r="T74"/>
      <c r="U74"/>
      <c r="V74"/>
      <c r="W74"/>
      <c r="X74"/>
      <c r="Y74" s="1"/>
      <c r="Z74"/>
      <c r="AA74"/>
      <c r="AB74" s="42">
        <f>P75</f>
        <v>37529</v>
      </c>
      <c r="AC74"/>
      <c r="AD74" s="49"/>
      <c r="AE74" s="49"/>
      <c r="AF74" s="49"/>
      <c r="AG74" s="49"/>
      <c r="AH74" s="49"/>
      <c r="AI74" s="49"/>
      <c r="AJ74"/>
      <c r="AK74"/>
    </row>
    <row r="75" spans="1:37" ht="12.75">
      <c r="A75" s="89">
        <f t="shared" si="63"/>
        <v>37346</v>
      </c>
      <c r="B75" s="208">
        <f t="shared" si="64"/>
        <v>1.9875</v>
      </c>
      <c r="C75" s="324">
        <f aca="true" t="shared" si="72" ref="C75:D80">C74</f>
        <v>90000.00000000001</v>
      </c>
      <c r="D75" s="264">
        <f t="shared" si="72"/>
        <v>510000</v>
      </c>
      <c r="E75" s="316">
        <f t="shared" si="65"/>
        <v>600000</v>
      </c>
      <c r="F75" s="335">
        <f t="shared" si="66"/>
        <v>0.102</v>
      </c>
      <c r="G75" s="252">
        <f t="shared" si="67"/>
        <v>256603.77358490563</v>
      </c>
      <c r="H75" s="252">
        <f t="shared" si="68"/>
        <v>256603.77358490566</v>
      </c>
      <c r="I75" s="252">
        <f t="shared" si="69"/>
        <v>0</v>
      </c>
      <c r="J75" s="252">
        <f t="shared" si="70"/>
        <v>45283.01886792455</v>
      </c>
      <c r="K75" s="252">
        <f t="shared" si="71"/>
        <v>45283.01886792455</v>
      </c>
      <c r="L75"/>
      <c r="O75"/>
      <c r="P75" s="196">
        <v>37529</v>
      </c>
      <c r="Q75" s="1"/>
      <c r="R75" s="1" t="s">
        <v>35</v>
      </c>
      <c r="S75" s="1" t="s">
        <v>107</v>
      </c>
      <c r="T75" s="386" t="s">
        <v>5</v>
      </c>
      <c r="U75" s="386"/>
      <c r="V75" s="1" t="s">
        <v>37</v>
      </c>
      <c r="W75"/>
      <c r="X75" s="1" t="s">
        <v>30</v>
      </c>
      <c r="Y75" s="196">
        <f>P75</f>
        <v>37529</v>
      </c>
      <c r="Z75"/>
      <c r="AA75"/>
      <c r="AB75"/>
      <c r="AC75"/>
      <c r="AD75" s="49"/>
      <c r="AE75" s="49"/>
      <c r="AF75" s="49"/>
      <c r="AG75" s="49"/>
      <c r="AH75" s="49"/>
      <c r="AI75" s="49"/>
      <c r="AJ75"/>
      <c r="AK75"/>
    </row>
    <row r="76" spans="1:37" ht="12.75">
      <c r="A76" s="90">
        <f t="shared" si="63"/>
        <v>37437</v>
      </c>
      <c r="B76" s="209">
        <f t="shared" si="64"/>
        <v>1.975</v>
      </c>
      <c r="C76" s="325">
        <f t="shared" si="72"/>
        <v>90000.00000000001</v>
      </c>
      <c r="D76" s="265">
        <f t="shared" si="72"/>
        <v>510000</v>
      </c>
      <c r="E76" s="317">
        <f t="shared" si="65"/>
        <v>600000</v>
      </c>
      <c r="F76" s="336">
        <f t="shared" si="66"/>
        <v>0.102</v>
      </c>
      <c r="G76" s="253">
        <f t="shared" si="67"/>
        <v>258227.8481012658</v>
      </c>
      <c r="H76" s="253">
        <f t="shared" si="68"/>
        <v>258227.84810126582</v>
      </c>
      <c r="I76" s="253">
        <f t="shared" si="69"/>
        <v>0</v>
      </c>
      <c r="J76" s="253">
        <f t="shared" si="70"/>
        <v>45569.620253164554</v>
      </c>
      <c r="K76" s="253">
        <f t="shared" si="71"/>
        <v>45569.620253164554</v>
      </c>
      <c r="L76"/>
      <c r="O76"/>
      <c r="P76" s="1" t="s">
        <v>54</v>
      </c>
      <c r="Q76" s="1" t="s">
        <v>35</v>
      </c>
      <c r="R76" s="1" t="s">
        <v>64</v>
      </c>
      <c r="S76" s="1" t="s">
        <v>108</v>
      </c>
      <c r="T76" s="1" t="s">
        <v>59</v>
      </c>
      <c r="U76" s="1" t="s">
        <v>60</v>
      </c>
      <c r="V76" s="80" t="s">
        <v>110</v>
      </c>
      <c r="W76"/>
      <c r="X76" s="80" t="s">
        <v>5</v>
      </c>
      <c r="Y76" s="1" t="s">
        <v>5</v>
      </c>
      <c r="Z76"/>
      <c r="AA76"/>
      <c r="AB76"/>
      <c r="AC76"/>
      <c r="AD76" s="49"/>
      <c r="AE76" s="49"/>
      <c r="AF76" s="49"/>
      <c r="AG76" s="49"/>
      <c r="AH76" s="49"/>
      <c r="AI76" s="49"/>
      <c r="AJ76"/>
      <c r="AK76"/>
    </row>
    <row r="77" spans="1:37" ht="12.75">
      <c r="A77" s="91">
        <f t="shared" si="63"/>
        <v>37529</v>
      </c>
      <c r="B77" s="210">
        <f t="shared" si="64"/>
        <v>1.9685</v>
      </c>
      <c r="C77" s="326">
        <f t="shared" si="72"/>
        <v>90000.00000000001</v>
      </c>
      <c r="D77" s="266">
        <f t="shared" si="72"/>
        <v>510000</v>
      </c>
      <c r="E77" s="318">
        <f t="shared" si="65"/>
        <v>600000</v>
      </c>
      <c r="F77" s="337">
        <f t="shared" si="66"/>
        <v>0.102</v>
      </c>
      <c r="G77" s="254">
        <f t="shared" si="67"/>
        <v>259080.5181610363</v>
      </c>
      <c r="H77" s="254">
        <f t="shared" si="68"/>
        <v>259080.51816103634</v>
      </c>
      <c r="I77" s="254">
        <f t="shared" si="69"/>
        <v>0</v>
      </c>
      <c r="J77" s="254">
        <f t="shared" si="70"/>
        <v>45720.091440182936</v>
      </c>
      <c r="K77" s="254">
        <f t="shared" si="71"/>
        <v>45720.091440182936</v>
      </c>
      <c r="L77"/>
      <c r="O77" s="133" t="s">
        <v>56</v>
      </c>
      <c r="P77" s="133" t="s">
        <v>55</v>
      </c>
      <c r="Q77" s="133" t="s">
        <v>67</v>
      </c>
      <c r="R77" s="133" t="s">
        <v>57</v>
      </c>
      <c r="S77" s="133" t="s">
        <v>26</v>
      </c>
      <c r="T77" s="134" t="s">
        <v>41</v>
      </c>
      <c r="U77" s="134" t="s">
        <v>109</v>
      </c>
      <c r="V77" s="134" t="s">
        <v>111</v>
      </c>
      <c r="W77" s="134" t="s">
        <v>68</v>
      </c>
      <c r="X77" s="134" t="s">
        <v>65</v>
      </c>
      <c r="Y77" s="134" t="s">
        <v>25</v>
      </c>
      <c r="Z77"/>
      <c r="AA77"/>
      <c r="AB77"/>
      <c r="AC77"/>
      <c r="AD77" s="49"/>
      <c r="AE77" s="49"/>
      <c r="AF77" s="133" t="s">
        <v>58</v>
      </c>
      <c r="AG77" s="133" t="s">
        <v>70</v>
      </c>
      <c r="AH77" s="49"/>
      <c r="AI77" s="49"/>
      <c r="AJ77"/>
      <c r="AK77"/>
    </row>
    <row r="78" spans="1:37" ht="12.75">
      <c r="A78" s="92">
        <f t="shared" si="63"/>
        <v>37621</v>
      </c>
      <c r="B78" s="211">
        <f t="shared" si="64"/>
        <v>1.948</v>
      </c>
      <c r="C78" s="327">
        <f t="shared" si="72"/>
        <v>90000.00000000001</v>
      </c>
      <c r="D78" s="267">
        <f t="shared" si="72"/>
        <v>510000</v>
      </c>
      <c r="E78" s="319">
        <f t="shared" si="65"/>
        <v>600000</v>
      </c>
      <c r="F78" s="338">
        <f t="shared" si="66"/>
        <v>0.102</v>
      </c>
      <c r="G78" s="255">
        <f t="shared" si="67"/>
        <v>261806.98151950716</v>
      </c>
      <c r="H78" s="255">
        <f t="shared" si="68"/>
        <v>261806.9815195072</v>
      </c>
      <c r="I78" s="255">
        <f t="shared" si="69"/>
        <v>0</v>
      </c>
      <c r="J78" s="255">
        <f t="shared" si="70"/>
        <v>46201.232032854256</v>
      </c>
      <c r="K78" s="255">
        <f t="shared" si="71"/>
        <v>46201.232032854256</v>
      </c>
      <c r="L78"/>
      <c r="O78" s="135">
        <v>37073</v>
      </c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/>
      <c r="AA78"/>
      <c r="AB78"/>
      <c r="AC78"/>
      <c r="AD78" s="49"/>
      <c r="AE78" s="49"/>
      <c r="AF78" s="136"/>
      <c r="AG78" s="136"/>
      <c r="AH78" s="49"/>
      <c r="AI78" s="49"/>
      <c r="AJ78"/>
      <c r="AK78"/>
    </row>
    <row r="79" spans="1:37" ht="12.75">
      <c r="A79" s="93">
        <f t="shared" si="63"/>
        <v>37711</v>
      </c>
      <c r="B79" s="206">
        <f t="shared" si="64"/>
        <v>1.9325</v>
      </c>
      <c r="C79" s="322">
        <f t="shared" si="72"/>
        <v>90000.00000000001</v>
      </c>
      <c r="D79" s="262">
        <f t="shared" si="72"/>
        <v>510000</v>
      </c>
      <c r="E79" s="314">
        <f t="shared" si="65"/>
        <v>600000</v>
      </c>
      <c r="F79" s="333">
        <f t="shared" si="66"/>
        <v>0.102</v>
      </c>
      <c r="G79" s="250">
        <f t="shared" si="67"/>
        <v>263906.8564036222</v>
      </c>
      <c r="H79" s="250">
        <f t="shared" si="68"/>
        <v>263906.85640362225</v>
      </c>
      <c r="I79" s="250">
        <f t="shared" si="69"/>
        <v>0</v>
      </c>
      <c r="J79" s="250">
        <f t="shared" si="70"/>
        <v>46571.798188874556</v>
      </c>
      <c r="K79" s="250">
        <f t="shared" si="71"/>
        <v>46571.798188874556</v>
      </c>
      <c r="L79"/>
      <c r="O79" s="135">
        <v>37164</v>
      </c>
      <c r="P79" s="158">
        <f aca="true" t="shared" si="73" ref="P79:P86">W$3</f>
        <v>0.102</v>
      </c>
      <c r="Q79" s="137">
        <f>+P79/4</f>
        <v>0.0255</v>
      </c>
      <c r="R79" s="137">
        <f aca="true" t="shared" si="74" ref="R79:R84">+Q79</f>
        <v>0.0255</v>
      </c>
      <c r="S79" s="259">
        <f>S65</f>
        <v>2</v>
      </c>
      <c r="T79" s="162">
        <f>Q79*W$2/S79</f>
        <v>254999.99999999997</v>
      </c>
      <c r="U79" s="162">
        <f>X$2*X$3/4</f>
        <v>256750</v>
      </c>
      <c r="V79" s="162">
        <f>+(R79)*W$2/S79</f>
        <v>254999.99999999997</v>
      </c>
      <c r="W79" s="162">
        <f>+T79-U79+V79</f>
        <v>253249.99999999994</v>
      </c>
      <c r="X79" s="4">
        <f>+W79-V79</f>
        <v>-1750.000000000029</v>
      </c>
      <c r="Y79" s="187">
        <v>0</v>
      </c>
      <c r="Z79"/>
      <c r="AA79"/>
      <c r="AB79"/>
      <c r="AC79"/>
      <c r="AD79" s="49"/>
      <c r="AE79" s="49"/>
      <c r="AF79" s="138">
        <v>0</v>
      </c>
      <c r="AG79" s="139">
        <f aca="true" t="shared" si="75" ref="AG79:AG86">+(1+Q79)^AF79</f>
        <v>1</v>
      </c>
      <c r="AH79" s="49"/>
      <c r="AI79" s="49"/>
      <c r="AJ79"/>
      <c r="AK79"/>
    </row>
    <row r="80" spans="1:37" ht="12.75">
      <c r="A80" s="94">
        <f t="shared" si="63"/>
        <v>37802</v>
      </c>
      <c r="B80" s="212">
        <f t="shared" si="64"/>
        <v>1.93</v>
      </c>
      <c r="C80" s="328">
        <f t="shared" si="72"/>
        <v>90000.00000000001</v>
      </c>
      <c r="D80" s="268">
        <f t="shared" si="72"/>
        <v>510000</v>
      </c>
      <c r="E80" s="320">
        <f t="shared" si="65"/>
        <v>600000</v>
      </c>
      <c r="F80" s="339">
        <f t="shared" si="66"/>
        <v>0.102</v>
      </c>
      <c r="G80" s="256">
        <f t="shared" si="67"/>
        <v>264248.7046632124</v>
      </c>
      <c r="H80" s="256">
        <f t="shared" si="68"/>
        <v>264248.70466321247</v>
      </c>
      <c r="I80" s="256">
        <f t="shared" si="69"/>
        <v>0</v>
      </c>
      <c r="J80" s="256">
        <f t="shared" si="70"/>
        <v>46632.12435233162</v>
      </c>
      <c r="K80" s="256">
        <f t="shared" si="71"/>
        <v>46632.12435233162</v>
      </c>
      <c r="L80"/>
      <c r="O80" s="141">
        <v>37256</v>
      </c>
      <c r="P80" s="158">
        <f t="shared" si="73"/>
        <v>0.102</v>
      </c>
      <c r="Q80" s="137">
        <f aca="true" t="shared" si="76" ref="Q80:Q86">+P80/4</f>
        <v>0.0255</v>
      </c>
      <c r="R80" s="137">
        <f t="shared" si="74"/>
        <v>0.0255</v>
      </c>
      <c r="S80" s="259">
        <f>S66</f>
        <v>1.9985</v>
      </c>
      <c r="T80" s="162">
        <f aca="true" t="shared" si="77" ref="T80:T86">Q80*W$2/S80</f>
        <v>255191.39354515885</v>
      </c>
      <c r="U80" s="162">
        <f aca="true" t="shared" si="78" ref="U80:U86">X$2*X$3/4</f>
        <v>256750</v>
      </c>
      <c r="V80" s="162">
        <f aca="true" t="shared" si="79" ref="V80:V86">+(R80)*W$2/S80</f>
        <v>255191.39354515885</v>
      </c>
      <c r="W80" s="162">
        <f aca="true" t="shared" si="80" ref="W80:W86">+T80-U80+V80</f>
        <v>253632.7870903177</v>
      </c>
      <c r="X80" s="4">
        <f aca="true" t="shared" si="81" ref="X80:X86">+W80-V80</f>
        <v>-1558.6064548411523</v>
      </c>
      <c r="Y80" s="187">
        <v>0</v>
      </c>
      <c r="Z80"/>
      <c r="AA80"/>
      <c r="AB80"/>
      <c r="AC80"/>
      <c r="AD80" s="49"/>
      <c r="AE80" s="49"/>
      <c r="AF80" s="140">
        <v>0</v>
      </c>
      <c r="AG80" s="139">
        <f t="shared" si="75"/>
        <v>1</v>
      </c>
      <c r="AH80" s="49"/>
      <c r="AI80" s="49"/>
      <c r="AJ80"/>
      <c r="AK80"/>
    </row>
    <row r="81" spans="1:37" ht="15.75">
      <c r="A81"/>
      <c r="B81"/>
      <c r="C81" s="294" t="s">
        <v>21</v>
      </c>
      <c r="E81" s="355" t="s">
        <v>21</v>
      </c>
      <c r="F81" s="321" t="s">
        <v>21</v>
      </c>
      <c r="G81" s="321">
        <f>SUM(G72:G80)</f>
        <v>2069139.5838067485</v>
      </c>
      <c r="H81" s="321">
        <f>SUM(H72:H80)</f>
        <v>2069139.583806749</v>
      </c>
      <c r="I81" s="321">
        <f>SUM(I73:I80)</f>
        <v>0</v>
      </c>
      <c r="J81" s="321">
        <f>SUM(J73:J80)</f>
        <v>365142.2794953088</v>
      </c>
      <c r="K81" s="321">
        <f>SUM(K72:K80)</f>
        <v>365142.2794953088</v>
      </c>
      <c r="L81"/>
      <c r="O81" s="141">
        <v>37346</v>
      </c>
      <c r="P81" s="158">
        <f t="shared" si="73"/>
        <v>0.102</v>
      </c>
      <c r="Q81" s="137">
        <f t="shared" si="76"/>
        <v>0.0255</v>
      </c>
      <c r="R81" s="137">
        <f t="shared" si="74"/>
        <v>0.0255</v>
      </c>
      <c r="S81" s="259">
        <f>S67</f>
        <v>1.9875</v>
      </c>
      <c r="T81" s="162">
        <f t="shared" si="77"/>
        <v>256603.77358490563</v>
      </c>
      <c r="U81" s="162">
        <f t="shared" si="78"/>
        <v>256750</v>
      </c>
      <c r="V81" s="162">
        <f t="shared" si="79"/>
        <v>256603.77358490563</v>
      </c>
      <c r="W81" s="162">
        <f t="shared" si="80"/>
        <v>256457.54716981127</v>
      </c>
      <c r="X81" s="4">
        <f t="shared" si="81"/>
        <v>-146.22641509436653</v>
      </c>
      <c r="Y81" s="187">
        <v>0</v>
      </c>
      <c r="Z81"/>
      <c r="AA81"/>
      <c r="AB81"/>
      <c r="AC81"/>
      <c r="AD81" s="49"/>
      <c r="AE81" s="49"/>
      <c r="AF81" s="140">
        <v>0</v>
      </c>
      <c r="AG81" s="139">
        <f t="shared" si="75"/>
        <v>1</v>
      </c>
      <c r="AH81" s="49"/>
      <c r="AI81" s="49"/>
      <c r="AJ81"/>
      <c r="AK81"/>
    </row>
    <row r="82" spans="7:37" ht="15.75">
      <c r="G82" s="71" t="s">
        <v>21</v>
      </c>
      <c r="I82" s="105" t="s">
        <v>21</v>
      </c>
      <c r="K82" s="373" t="s">
        <v>21</v>
      </c>
      <c r="O82" s="141">
        <v>37437</v>
      </c>
      <c r="P82" s="158">
        <f t="shared" si="73"/>
        <v>0.102</v>
      </c>
      <c r="Q82" s="137">
        <f t="shared" si="76"/>
        <v>0.0255</v>
      </c>
      <c r="R82" s="137">
        <f t="shared" si="74"/>
        <v>0.0255</v>
      </c>
      <c r="S82" s="259">
        <f>S68</f>
        <v>1.9825</v>
      </c>
      <c r="T82" s="162">
        <f t="shared" si="77"/>
        <v>257250.94577553592</v>
      </c>
      <c r="U82" s="162">
        <f t="shared" si="78"/>
        <v>256750</v>
      </c>
      <c r="V82" s="162">
        <f t="shared" si="79"/>
        <v>257250.94577553592</v>
      </c>
      <c r="W82" s="162">
        <f t="shared" si="80"/>
        <v>257751.89155107184</v>
      </c>
      <c r="X82" s="4">
        <f t="shared" si="81"/>
        <v>500.9457755359181</v>
      </c>
      <c r="Y82" s="187">
        <v>0</v>
      </c>
      <c r="Z82"/>
      <c r="AA82"/>
      <c r="AB82"/>
      <c r="AC82"/>
      <c r="AD82" s="49"/>
      <c r="AE82" s="49"/>
      <c r="AF82" s="140">
        <v>0</v>
      </c>
      <c r="AG82" s="139">
        <f t="shared" si="75"/>
        <v>1</v>
      </c>
      <c r="AH82" s="49"/>
      <c r="AI82" s="49"/>
      <c r="AJ82"/>
      <c r="AK82"/>
    </row>
    <row r="83" spans="1:37" ht="12.75">
      <c r="A83" s="330"/>
      <c r="B83" s="330"/>
      <c r="C83" s="46" t="s">
        <v>238</v>
      </c>
      <c r="D83" s="308" t="s">
        <v>148</v>
      </c>
      <c r="E83" s="332" t="s">
        <v>244</v>
      </c>
      <c r="F83" s="332">
        <f>G68</f>
        <v>0.12</v>
      </c>
      <c r="G83" s="330"/>
      <c r="H83" s="367">
        <f>G68</f>
        <v>0.12</v>
      </c>
      <c r="I83" s="46" t="s">
        <v>284</v>
      </c>
      <c r="J83" s="352"/>
      <c r="K83" s="353"/>
      <c r="L83" s="354"/>
      <c r="M83" s="330"/>
      <c r="O83" s="186">
        <v>37529</v>
      </c>
      <c r="P83" s="158">
        <f t="shared" si="73"/>
        <v>0.102</v>
      </c>
      <c r="Q83" s="137">
        <f t="shared" si="76"/>
        <v>0.0255</v>
      </c>
      <c r="R83" s="137">
        <f t="shared" si="74"/>
        <v>0.0255</v>
      </c>
      <c r="S83" s="259">
        <f>S69</f>
        <v>1.975</v>
      </c>
      <c r="T83" s="162">
        <f t="shared" si="77"/>
        <v>258227.8481012658</v>
      </c>
      <c r="U83" s="162">
        <f t="shared" si="78"/>
        <v>256750</v>
      </c>
      <c r="V83" s="162">
        <f t="shared" si="79"/>
        <v>258227.8481012658</v>
      </c>
      <c r="W83" s="162">
        <f t="shared" si="80"/>
        <v>259705.69620253157</v>
      </c>
      <c r="X83" s="4">
        <f t="shared" si="81"/>
        <v>1477.8481012657867</v>
      </c>
      <c r="Y83" s="187">
        <v>0</v>
      </c>
      <c r="Z83"/>
      <c r="AA83"/>
      <c r="AB83"/>
      <c r="AC83"/>
      <c r="AD83" s="49"/>
      <c r="AE83" s="49"/>
      <c r="AF83" s="140">
        <v>0</v>
      </c>
      <c r="AG83" s="139">
        <f t="shared" si="75"/>
        <v>1</v>
      </c>
      <c r="AH83" s="49"/>
      <c r="AI83" s="49"/>
      <c r="AJ83"/>
      <c r="AK83"/>
    </row>
    <row r="84" spans="1:37" ht="15.75">
      <c r="A84" s="331"/>
      <c r="B84" s="331"/>
      <c r="C84" s="365">
        <f>G68</f>
        <v>0.12</v>
      </c>
      <c r="D84" s="306" t="s">
        <v>259</v>
      </c>
      <c r="E84" s="305" t="s">
        <v>242</v>
      </c>
      <c r="F84" s="305" t="s">
        <v>155</v>
      </c>
      <c r="G84" s="47" t="s">
        <v>229</v>
      </c>
      <c r="H84" s="305" t="s">
        <v>62</v>
      </c>
      <c r="I84" s="365">
        <f>G68</f>
        <v>0.12</v>
      </c>
      <c r="J84" s="368">
        <v>0</v>
      </c>
      <c r="K84" s="369">
        <f>W$3</f>
        <v>0.102</v>
      </c>
      <c r="L84" s="370">
        <f>G68</f>
        <v>0.12</v>
      </c>
      <c r="M84" s="370" t="s">
        <v>285</v>
      </c>
      <c r="O84" s="141">
        <v>37621</v>
      </c>
      <c r="P84" s="158">
        <f t="shared" si="73"/>
        <v>0.102</v>
      </c>
      <c r="Q84" s="137">
        <f t="shared" si="76"/>
        <v>0.0255</v>
      </c>
      <c r="R84" s="137">
        <f t="shared" si="74"/>
        <v>0.0255</v>
      </c>
      <c r="S84" s="259">
        <f>H124</f>
        <v>1.9685</v>
      </c>
      <c r="T84" s="162">
        <f t="shared" si="77"/>
        <v>259080.5181610363</v>
      </c>
      <c r="U84" s="162">
        <f t="shared" si="78"/>
        <v>256750</v>
      </c>
      <c r="V84" s="162">
        <f t="shared" si="79"/>
        <v>259080.5181610363</v>
      </c>
      <c r="W84" s="162">
        <f t="shared" si="80"/>
        <v>261411.0363220726</v>
      </c>
      <c r="X84" s="4">
        <f t="shared" si="81"/>
        <v>2330.518161036307</v>
      </c>
      <c r="Y84" s="187">
        <f>+X84/(1+Q84)^AF84</f>
        <v>2272.5676850670957</v>
      </c>
      <c r="Z84"/>
      <c r="AA84"/>
      <c r="AB84"/>
      <c r="AC84"/>
      <c r="AD84" s="49"/>
      <c r="AE84" s="49"/>
      <c r="AF84" s="140">
        <f>1+AF83</f>
        <v>1</v>
      </c>
      <c r="AG84" s="139">
        <f t="shared" si="75"/>
        <v>1.0255</v>
      </c>
      <c r="AH84" s="49"/>
      <c r="AI84" s="49"/>
      <c r="AJ84"/>
      <c r="AK84"/>
    </row>
    <row r="85" spans="1:37" ht="15.75">
      <c r="A85" s="101"/>
      <c r="B85" s="18" t="s">
        <v>63</v>
      </c>
      <c r="C85" s="306" t="s">
        <v>235</v>
      </c>
      <c r="D85" s="306" t="s">
        <v>235</v>
      </c>
      <c r="E85" s="366">
        <f>W$3</f>
        <v>0.102</v>
      </c>
      <c r="F85" s="306" t="s">
        <v>151</v>
      </c>
      <c r="G85" s="19" t="s">
        <v>42</v>
      </c>
      <c r="H85" s="306" t="s">
        <v>153</v>
      </c>
      <c r="I85" s="306" t="s">
        <v>235</v>
      </c>
      <c r="J85" s="306" t="s">
        <v>173</v>
      </c>
      <c r="K85" s="274" t="s">
        <v>40</v>
      </c>
      <c r="L85" s="274" t="s">
        <v>40</v>
      </c>
      <c r="M85" s="372" t="s">
        <v>287</v>
      </c>
      <c r="O85" s="141">
        <v>37711</v>
      </c>
      <c r="P85" s="158">
        <f t="shared" si="73"/>
        <v>0.102</v>
      </c>
      <c r="Q85" s="137">
        <f t="shared" si="76"/>
        <v>0.0255</v>
      </c>
      <c r="R85" s="137">
        <f>+AG85/AG84-1</f>
        <v>0.025500000000000078</v>
      </c>
      <c r="S85" s="259">
        <f>H125</f>
        <v>1.9425</v>
      </c>
      <c r="T85" s="162">
        <f t="shared" si="77"/>
        <v>262548.26254826254</v>
      </c>
      <c r="U85" s="162">
        <f t="shared" si="78"/>
        <v>256750</v>
      </c>
      <c r="V85" s="162">
        <f t="shared" si="79"/>
        <v>262548.26254826336</v>
      </c>
      <c r="W85" s="162">
        <f t="shared" si="80"/>
        <v>268346.5250965259</v>
      </c>
      <c r="X85" s="4">
        <f t="shared" si="81"/>
        <v>5798.262548262544</v>
      </c>
      <c r="Y85" s="187">
        <f>+X85/(1+Q85)^AF85</f>
        <v>5513.489440298753</v>
      </c>
      <c r="Z85"/>
      <c r="AA85"/>
      <c r="AB85"/>
      <c r="AC85"/>
      <c r="AD85" s="49"/>
      <c r="AE85" s="49"/>
      <c r="AF85" s="140">
        <f>1+AF84</f>
        <v>2</v>
      </c>
      <c r="AG85" s="139">
        <f t="shared" si="75"/>
        <v>1.0516502500000002</v>
      </c>
      <c r="AH85" s="49"/>
      <c r="AI85" s="49"/>
      <c r="AJ85"/>
      <c r="AK85"/>
    </row>
    <row r="86" spans="1:37" ht="16.5" thickBot="1">
      <c r="A86" s="101"/>
      <c r="B86" s="18" t="s">
        <v>94</v>
      </c>
      <c r="C86" s="366">
        <f>W$3</f>
        <v>0.102</v>
      </c>
      <c r="D86" s="366">
        <f>G68</f>
        <v>0.12</v>
      </c>
      <c r="E86" s="306" t="s">
        <v>243</v>
      </c>
      <c r="F86" s="306" t="s">
        <v>149</v>
      </c>
      <c r="G86" s="19" t="s">
        <v>30</v>
      </c>
      <c r="H86" s="306" t="s">
        <v>149</v>
      </c>
      <c r="I86" s="366">
        <f>W$3</f>
        <v>0.102</v>
      </c>
      <c r="J86" s="306" t="s">
        <v>174</v>
      </c>
      <c r="K86" s="274" t="s">
        <v>233</v>
      </c>
      <c r="L86" s="274" t="s">
        <v>233</v>
      </c>
      <c r="M86" s="274" t="s">
        <v>37</v>
      </c>
      <c r="O86" s="164">
        <v>37802</v>
      </c>
      <c r="P86" s="348">
        <f t="shared" si="73"/>
        <v>0.102</v>
      </c>
      <c r="Q86" s="142">
        <f t="shared" si="76"/>
        <v>0.0255</v>
      </c>
      <c r="R86" s="142">
        <f>+AG86/AG85-1</f>
        <v>0.025500000000000078</v>
      </c>
      <c r="S86" s="260">
        <f>H126</f>
        <v>1.9375</v>
      </c>
      <c r="T86" s="165">
        <f t="shared" si="77"/>
        <v>263225.80645161285</v>
      </c>
      <c r="U86" s="165">
        <f t="shared" si="78"/>
        <v>256750</v>
      </c>
      <c r="V86" s="165">
        <f t="shared" si="79"/>
        <v>263225.8064516137</v>
      </c>
      <c r="W86" s="165">
        <f t="shared" si="80"/>
        <v>269701.6129032266</v>
      </c>
      <c r="X86" s="166">
        <f t="shared" si="81"/>
        <v>6475.806451612851</v>
      </c>
      <c r="Y86" s="187">
        <f>+X86/(1+Q86)^AF86</f>
        <v>6004.63849318131</v>
      </c>
      <c r="Z86"/>
      <c r="AA86"/>
      <c r="AB86"/>
      <c r="AC86"/>
      <c r="AD86" s="49"/>
      <c r="AE86" s="49"/>
      <c r="AF86" s="143">
        <f>1+AF85</f>
        <v>3</v>
      </c>
      <c r="AG86" s="144">
        <f t="shared" si="75"/>
        <v>1.0784673313750004</v>
      </c>
      <c r="AH86" s="49"/>
      <c r="AI86" s="49"/>
      <c r="AJ86"/>
      <c r="AK86"/>
    </row>
    <row r="87" spans="1:37" ht="16.5" thickBot="1">
      <c r="A87" s="21" t="s">
        <v>20</v>
      </c>
      <c r="B87" s="22" t="s">
        <v>26</v>
      </c>
      <c r="C87" s="307" t="s">
        <v>236</v>
      </c>
      <c r="D87" s="307" t="s">
        <v>236</v>
      </c>
      <c r="E87" s="357">
        <f>G68</f>
        <v>0.12</v>
      </c>
      <c r="F87" s="307" t="s">
        <v>154</v>
      </c>
      <c r="G87" s="21" t="s">
        <v>25</v>
      </c>
      <c r="H87" s="307" t="s">
        <v>150</v>
      </c>
      <c r="I87" s="307" t="s">
        <v>236</v>
      </c>
      <c r="J87" s="307" t="s">
        <v>5</v>
      </c>
      <c r="K87" s="276" t="s">
        <v>5</v>
      </c>
      <c r="L87" s="276" t="s">
        <v>260</v>
      </c>
      <c r="M87" s="276" t="s">
        <v>40</v>
      </c>
      <c r="O87" t="s">
        <v>61</v>
      </c>
      <c r="P87"/>
      <c r="Q87"/>
      <c r="R87"/>
      <c r="S87"/>
      <c r="T87"/>
      <c r="U87" s="162"/>
      <c r="V87" s="162"/>
      <c r="W87" s="162"/>
      <c r="X87" s="4">
        <f>SUM(X79:X86)</f>
        <v>13128.548167777859</v>
      </c>
      <c r="Y87" s="188">
        <f>SUM(Y84:Y86)</f>
        <v>13790.695618547159</v>
      </c>
      <c r="Z87"/>
      <c r="AA87" s="147">
        <v>0.0012535028970168379</v>
      </c>
      <c r="AB87"/>
      <c r="AC87" s="36">
        <f>+AB74</f>
        <v>37529</v>
      </c>
      <c r="AD87" t="s">
        <v>62</v>
      </c>
      <c r="AE87" s="49"/>
      <c r="AF87" s="49"/>
      <c r="AG87" s="49"/>
      <c r="AH87" s="49"/>
      <c r="AI87" s="49"/>
      <c r="AJ87"/>
      <c r="AK87"/>
    </row>
    <row r="88" spans="1:37" ht="12.75">
      <c r="A88" s="95">
        <f>E22</f>
        <v>37073</v>
      </c>
      <c r="B88" s="205">
        <f>B22</f>
        <v>2</v>
      </c>
      <c r="C88" s="249" t="s">
        <v>21</v>
      </c>
      <c r="D88" s="205" t="s">
        <v>21</v>
      </c>
      <c r="E88" s="249" t="s">
        <v>21</v>
      </c>
      <c r="F88" s="249" t="s">
        <v>21</v>
      </c>
      <c r="G88" s="249">
        <f>L22</f>
        <v>0</v>
      </c>
      <c r="H88" s="249" t="s">
        <v>21</v>
      </c>
      <c r="I88" s="249" t="s">
        <v>21</v>
      </c>
      <c r="J88" s="249" t="s">
        <v>21</v>
      </c>
      <c r="K88" s="249" t="s">
        <v>21</v>
      </c>
      <c r="L88" s="249" t="s">
        <v>21</v>
      </c>
      <c r="M88" s="249"/>
      <c r="O88"/>
      <c r="P88"/>
      <c r="Q88" s="1"/>
      <c r="R88"/>
      <c r="S88"/>
      <c r="T88"/>
      <c r="U88"/>
      <c r="V88"/>
      <c r="W88"/>
      <c r="X88"/>
      <c r="Y88" s="1"/>
      <c r="Z88"/>
      <c r="AA88"/>
      <c r="AB88" s="42">
        <f>P89</f>
        <v>37621</v>
      </c>
      <c r="AC88"/>
      <c r="AD88" s="49"/>
      <c r="AE88" s="49"/>
      <c r="AF88" s="49"/>
      <c r="AG88" s="49"/>
      <c r="AH88" s="49"/>
      <c r="AI88" s="49"/>
      <c r="AJ88"/>
      <c r="AK88"/>
    </row>
    <row r="89" spans="1:37" ht="12.75">
      <c r="A89" s="93">
        <f aca="true" t="shared" si="82" ref="A89:A96">E23</f>
        <v>37164</v>
      </c>
      <c r="B89" s="206">
        <f aca="true" t="shared" si="83" ref="B89:B96">B23</f>
        <v>2.0225</v>
      </c>
      <c r="C89" s="358">
        <f>W$3</f>
        <v>0.102</v>
      </c>
      <c r="D89" s="358">
        <f>G$68</f>
        <v>0.12</v>
      </c>
      <c r="E89" s="358">
        <f>IF(C73&lt;0,(C89-D89),0)</f>
        <v>0</v>
      </c>
      <c r="F89" s="333">
        <f>IF(C89&gt;0,E89/C89,0)</f>
        <v>0</v>
      </c>
      <c r="G89" s="250">
        <f>L23-L22</f>
        <v>-3890.9935734162277</v>
      </c>
      <c r="H89" s="250">
        <f>-(F89*G89)</f>
        <v>0</v>
      </c>
      <c r="I89" s="250">
        <f>E73/B73</f>
        <v>296662.54635352286</v>
      </c>
      <c r="J89" s="250">
        <f>E73/B73</f>
        <v>296662.54635352286</v>
      </c>
      <c r="K89" s="250">
        <f>K23</f>
        <v>-4586.835599505575</v>
      </c>
      <c r="L89" s="250">
        <f>D23*(G$68/4)/B73-H23</f>
        <v>39912.54635352286</v>
      </c>
      <c r="M89" s="250">
        <f>L89-K89</f>
        <v>44499.38195302844</v>
      </c>
      <c r="O89"/>
      <c r="P89" s="195">
        <v>37621</v>
      </c>
      <c r="Q89" s="1"/>
      <c r="R89" s="1" t="s">
        <v>35</v>
      </c>
      <c r="S89" s="1" t="s">
        <v>107</v>
      </c>
      <c r="T89" s="386" t="s">
        <v>5</v>
      </c>
      <c r="U89" s="386"/>
      <c r="V89" s="1" t="s">
        <v>37</v>
      </c>
      <c r="W89"/>
      <c r="X89" s="1" t="s">
        <v>30</v>
      </c>
      <c r="Y89" s="195">
        <f>P89</f>
        <v>37621</v>
      </c>
      <c r="Z89"/>
      <c r="AA89"/>
      <c r="AB89"/>
      <c r="AC89"/>
      <c r="AD89" s="49"/>
      <c r="AE89" s="49"/>
      <c r="AF89" s="49"/>
      <c r="AG89" s="49"/>
      <c r="AH89" s="49"/>
      <c r="AI89" s="49"/>
      <c r="AJ89"/>
      <c r="AK89"/>
    </row>
    <row r="90" spans="1:37" ht="12.75">
      <c r="A90" s="154">
        <f t="shared" si="82"/>
        <v>37256</v>
      </c>
      <c r="B90" s="207">
        <f t="shared" si="83"/>
        <v>2.015</v>
      </c>
      <c r="C90" s="359">
        <f aca="true" t="shared" si="84" ref="C90:C96">C89</f>
        <v>0.102</v>
      </c>
      <c r="D90" s="359">
        <f aca="true" t="shared" si="85" ref="D90:D96">G$68</f>
        <v>0.12</v>
      </c>
      <c r="E90" s="359">
        <f>E89</f>
        <v>0</v>
      </c>
      <c r="F90" s="334">
        <f>F89</f>
        <v>0</v>
      </c>
      <c r="G90" s="251">
        <f aca="true" t="shared" si="86" ref="G90:G96">L24-L23</f>
        <v>8886.526734624706</v>
      </c>
      <c r="H90" s="251">
        <f aca="true" t="shared" si="87" ref="H90:H96">-(F90*G90)</f>
        <v>0</v>
      </c>
      <c r="I90" s="251">
        <f aca="true" t="shared" si="88" ref="I90:I96">E74/B74</f>
        <v>297766.7493796526</v>
      </c>
      <c r="J90" s="251">
        <f aca="true" t="shared" si="89" ref="J90:J96">E74/B74</f>
        <v>297766.7493796526</v>
      </c>
      <c r="K90" s="251">
        <f aca="true" t="shared" si="90" ref="K90:K96">K24</f>
        <v>-3648.2630272953247</v>
      </c>
      <c r="L90" s="251">
        <f aca="true" t="shared" si="91" ref="L90:L96">D24*(G$68/4)/B74-H24</f>
        <v>41016.74937965261</v>
      </c>
      <c r="M90" s="251">
        <f aca="true" t="shared" si="92" ref="M90:M96">L90-K90</f>
        <v>44665.012406947935</v>
      </c>
      <c r="O90"/>
      <c r="P90" s="1" t="s">
        <v>54</v>
      </c>
      <c r="Q90" s="1" t="s">
        <v>35</v>
      </c>
      <c r="R90" s="1" t="s">
        <v>64</v>
      </c>
      <c r="S90" s="1" t="s">
        <v>108</v>
      </c>
      <c r="T90" s="1" t="s">
        <v>59</v>
      </c>
      <c r="U90" s="1" t="s">
        <v>60</v>
      </c>
      <c r="V90" s="80" t="s">
        <v>110</v>
      </c>
      <c r="W90"/>
      <c r="X90" s="80" t="s">
        <v>5</v>
      </c>
      <c r="Y90" s="1" t="s">
        <v>5</v>
      </c>
      <c r="Z90"/>
      <c r="AA90"/>
      <c r="AB90"/>
      <c r="AC90"/>
      <c r="AD90" s="49"/>
      <c r="AE90" s="49"/>
      <c r="AF90" s="1"/>
      <c r="AG90" s="1"/>
      <c r="AH90" s="49"/>
      <c r="AI90" s="49"/>
      <c r="AJ90"/>
      <c r="AK90"/>
    </row>
    <row r="91" spans="1:37" ht="12.75">
      <c r="A91" s="89">
        <f t="shared" si="82"/>
        <v>37346</v>
      </c>
      <c r="B91" s="208">
        <f t="shared" si="83"/>
        <v>1.9875</v>
      </c>
      <c r="C91" s="360">
        <f t="shared" si="84"/>
        <v>0.102</v>
      </c>
      <c r="D91" s="360">
        <f t="shared" si="85"/>
        <v>0.12</v>
      </c>
      <c r="E91" s="360">
        <f aca="true" t="shared" si="93" ref="E91:F96">E90</f>
        <v>0</v>
      </c>
      <c r="F91" s="335">
        <f t="shared" si="93"/>
        <v>0</v>
      </c>
      <c r="G91" s="252">
        <f t="shared" si="86"/>
        <v>976.1348258618291</v>
      </c>
      <c r="H91" s="252">
        <f t="shared" si="87"/>
        <v>0</v>
      </c>
      <c r="I91" s="252">
        <f t="shared" si="88"/>
        <v>301886.7924528302</v>
      </c>
      <c r="J91" s="252">
        <f t="shared" si="89"/>
        <v>301886.7924528302</v>
      </c>
      <c r="K91" s="252">
        <f t="shared" si="90"/>
        <v>-146.22641509436653</v>
      </c>
      <c r="L91" s="252">
        <f t="shared" si="91"/>
        <v>45136.79245283018</v>
      </c>
      <c r="M91" s="252">
        <f t="shared" si="92"/>
        <v>45283.01886792455</v>
      </c>
      <c r="O91" s="133" t="s">
        <v>56</v>
      </c>
      <c r="P91" s="133" t="s">
        <v>55</v>
      </c>
      <c r="Q91" s="133" t="s">
        <v>67</v>
      </c>
      <c r="R91" s="133" t="s">
        <v>57</v>
      </c>
      <c r="S91" s="133" t="s">
        <v>26</v>
      </c>
      <c r="T91" s="134" t="s">
        <v>41</v>
      </c>
      <c r="U91" s="134" t="s">
        <v>109</v>
      </c>
      <c r="V91" s="134" t="s">
        <v>111</v>
      </c>
      <c r="W91" s="134" t="s">
        <v>68</v>
      </c>
      <c r="X91" s="134" t="s">
        <v>65</v>
      </c>
      <c r="Y91" s="134" t="s">
        <v>25</v>
      </c>
      <c r="Z91"/>
      <c r="AA91"/>
      <c r="AB91"/>
      <c r="AC91"/>
      <c r="AD91" s="49"/>
      <c r="AE91" s="49"/>
      <c r="AF91" s="133" t="s">
        <v>58</v>
      </c>
      <c r="AG91" s="133" t="s">
        <v>70</v>
      </c>
      <c r="AH91" s="49"/>
      <c r="AI91" s="49"/>
      <c r="AJ91"/>
      <c r="AK91"/>
    </row>
    <row r="92" spans="1:37" ht="12.75">
      <c r="A92" s="90">
        <f t="shared" si="82"/>
        <v>37437</v>
      </c>
      <c r="B92" s="209">
        <f t="shared" si="83"/>
        <v>1.975</v>
      </c>
      <c r="C92" s="361">
        <f t="shared" si="84"/>
        <v>0.102</v>
      </c>
      <c r="D92" s="361">
        <f t="shared" si="85"/>
        <v>0.12</v>
      </c>
      <c r="E92" s="361">
        <f t="shared" si="93"/>
        <v>0</v>
      </c>
      <c r="F92" s="336">
        <f t="shared" si="93"/>
        <v>0</v>
      </c>
      <c r="G92" s="253">
        <f t="shared" si="86"/>
        <v>3798.6173563034436</v>
      </c>
      <c r="H92" s="253">
        <f t="shared" si="87"/>
        <v>0</v>
      </c>
      <c r="I92" s="253">
        <f t="shared" si="88"/>
        <v>303797.46835443034</v>
      </c>
      <c r="J92" s="253">
        <f t="shared" si="89"/>
        <v>303797.46835443034</v>
      </c>
      <c r="K92" s="253">
        <f t="shared" si="90"/>
        <v>1477.8481012657867</v>
      </c>
      <c r="L92" s="253">
        <f t="shared" si="91"/>
        <v>47047.46835443034</v>
      </c>
      <c r="M92" s="253">
        <f t="shared" si="92"/>
        <v>45569.620253164554</v>
      </c>
      <c r="O92" s="135">
        <v>37073</v>
      </c>
      <c r="P92" s="79"/>
      <c r="Q92" s="79"/>
      <c r="R92" s="79"/>
      <c r="S92" s="79"/>
      <c r="T92" s="79"/>
      <c r="U92" s="79"/>
      <c r="V92" s="79"/>
      <c r="W92" s="79"/>
      <c r="X92" s="79"/>
      <c r="Y92" s="79"/>
      <c r="Z92"/>
      <c r="AA92"/>
      <c r="AB92"/>
      <c r="AC92"/>
      <c r="AD92" s="49"/>
      <c r="AE92" s="49"/>
      <c r="AF92" s="136"/>
      <c r="AG92" s="136"/>
      <c r="AH92" s="49"/>
      <c r="AI92" s="49"/>
      <c r="AJ92"/>
      <c r="AK92"/>
    </row>
    <row r="93" spans="1:37" ht="12.75">
      <c r="A93" s="91">
        <f t="shared" si="82"/>
        <v>37529</v>
      </c>
      <c r="B93" s="210">
        <f t="shared" si="83"/>
        <v>1.9685</v>
      </c>
      <c r="C93" s="362">
        <f t="shared" si="84"/>
        <v>0.102</v>
      </c>
      <c r="D93" s="362">
        <f t="shared" si="85"/>
        <v>0.12</v>
      </c>
      <c r="E93" s="362">
        <f t="shared" si="93"/>
        <v>0</v>
      </c>
      <c r="F93" s="337">
        <f t="shared" si="93"/>
        <v>0</v>
      </c>
      <c r="G93" s="254">
        <f t="shared" si="86"/>
        <v>4020.410275173408</v>
      </c>
      <c r="H93" s="254">
        <f t="shared" si="87"/>
        <v>0</v>
      </c>
      <c r="I93" s="254">
        <f t="shared" si="88"/>
        <v>304800.60960121924</v>
      </c>
      <c r="J93" s="254">
        <f t="shared" si="89"/>
        <v>304800.60960121924</v>
      </c>
      <c r="K93" s="254">
        <f t="shared" si="90"/>
        <v>2330.518161036307</v>
      </c>
      <c r="L93" s="254">
        <f t="shared" si="91"/>
        <v>48050.60960121924</v>
      </c>
      <c r="M93" s="254">
        <f t="shared" si="92"/>
        <v>45720.091440182936</v>
      </c>
      <c r="O93" s="135">
        <v>37164</v>
      </c>
      <c r="P93" s="159">
        <f aca="true" t="shared" si="94" ref="P93:P100">W$3</f>
        <v>0.102</v>
      </c>
      <c r="Q93" s="137">
        <f>+P93/4</f>
        <v>0.0255</v>
      </c>
      <c r="R93" s="137">
        <f aca="true" t="shared" si="95" ref="R93:R99">+Q93</f>
        <v>0.0255</v>
      </c>
      <c r="S93" s="259">
        <f aca="true" t="shared" si="96" ref="S93:S98">S79</f>
        <v>2</v>
      </c>
      <c r="T93" s="162">
        <f>Q93*W$2/S93</f>
        <v>254999.99999999997</v>
      </c>
      <c r="U93" s="162">
        <f>X$2*X$3/4</f>
        <v>256750</v>
      </c>
      <c r="V93" s="162">
        <f>+(R93)*W$2/S93</f>
        <v>254999.99999999997</v>
      </c>
      <c r="W93" s="162">
        <f>+T93-U93+V93</f>
        <v>253249.99999999994</v>
      </c>
      <c r="X93" s="4">
        <f>+W93-V93</f>
        <v>-1750.000000000029</v>
      </c>
      <c r="Y93" s="190">
        <v>0</v>
      </c>
      <c r="Z93"/>
      <c r="AA93"/>
      <c r="AB93"/>
      <c r="AC93"/>
      <c r="AD93" s="49"/>
      <c r="AE93" s="49"/>
      <c r="AF93" s="138">
        <v>0</v>
      </c>
      <c r="AG93" s="139">
        <f aca="true" t="shared" si="97" ref="AG93:AG100">+(1+Q93)^AF93</f>
        <v>1</v>
      </c>
      <c r="AH93" s="49"/>
      <c r="AI93" s="49"/>
      <c r="AJ93"/>
      <c r="AK93"/>
    </row>
    <row r="94" spans="1:37" ht="12.75">
      <c r="A94" s="92">
        <f t="shared" si="82"/>
        <v>37621</v>
      </c>
      <c r="B94" s="211">
        <f t="shared" si="83"/>
        <v>1.948</v>
      </c>
      <c r="C94" s="363">
        <f t="shared" si="84"/>
        <v>0.102</v>
      </c>
      <c r="D94" s="363">
        <f t="shared" si="85"/>
        <v>0.12</v>
      </c>
      <c r="E94" s="363">
        <f t="shared" si="93"/>
        <v>0</v>
      </c>
      <c r="F94" s="338">
        <f t="shared" si="93"/>
        <v>0</v>
      </c>
      <c r="G94" s="255">
        <f t="shared" si="86"/>
        <v>-2054.102628742059</v>
      </c>
      <c r="H94" s="255">
        <f t="shared" si="87"/>
        <v>0</v>
      </c>
      <c r="I94" s="255">
        <f t="shared" si="88"/>
        <v>308008.2135523614</v>
      </c>
      <c r="J94" s="255">
        <f t="shared" si="89"/>
        <v>308008.2135523614</v>
      </c>
      <c r="K94" s="255">
        <f t="shared" si="90"/>
        <v>5056.981519507157</v>
      </c>
      <c r="L94" s="255">
        <f t="shared" si="91"/>
        <v>51258.21355236141</v>
      </c>
      <c r="M94" s="255">
        <f t="shared" si="92"/>
        <v>46201.232032854256</v>
      </c>
      <c r="O94" s="141">
        <v>37256</v>
      </c>
      <c r="P94" s="159">
        <f t="shared" si="94"/>
        <v>0.102</v>
      </c>
      <c r="Q94" s="137">
        <f aca="true" t="shared" si="98" ref="Q94:Q100">+P94/4</f>
        <v>0.0255</v>
      </c>
      <c r="R94" s="137">
        <f t="shared" si="95"/>
        <v>0.0255</v>
      </c>
      <c r="S94" s="259">
        <f t="shared" si="96"/>
        <v>1.9985</v>
      </c>
      <c r="T94" s="162">
        <f aca="true" t="shared" si="99" ref="T94:T100">Q94*W$2/S94</f>
        <v>255191.39354515885</v>
      </c>
      <c r="U94" s="162">
        <f aca="true" t="shared" si="100" ref="U94:U100">X$2*X$3/4</f>
        <v>256750</v>
      </c>
      <c r="V94" s="162">
        <f aca="true" t="shared" si="101" ref="V94:V100">+(R94)*W$2/S94</f>
        <v>255191.39354515885</v>
      </c>
      <c r="W94" s="162">
        <f aca="true" t="shared" si="102" ref="W94:W100">+T94-U94+V94</f>
        <v>253632.7870903177</v>
      </c>
      <c r="X94" s="4">
        <f aca="true" t="shared" si="103" ref="X94:X100">+W94-V94</f>
        <v>-1558.6064548411523</v>
      </c>
      <c r="Y94" s="190">
        <v>0</v>
      </c>
      <c r="Z94"/>
      <c r="AA94"/>
      <c r="AB94"/>
      <c r="AC94"/>
      <c r="AD94" s="49"/>
      <c r="AE94" s="49"/>
      <c r="AF94" s="140">
        <v>0</v>
      </c>
      <c r="AG94" s="139">
        <f t="shared" si="97"/>
        <v>1</v>
      </c>
      <c r="AH94" s="49"/>
      <c r="AI94" s="49"/>
      <c r="AJ94"/>
      <c r="AK94"/>
    </row>
    <row r="95" spans="1:37" ht="12.75">
      <c r="A95" s="93">
        <f t="shared" si="82"/>
        <v>37711</v>
      </c>
      <c r="B95" s="206">
        <f t="shared" si="83"/>
        <v>1.9325</v>
      </c>
      <c r="C95" s="358">
        <f t="shared" si="84"/>
        <v>0.102</v>
      </c>
      <c r="D95" s="358">
        <f t="shared" si="85"/>
        <v>0.12</v>
      </c>
      <c r="E95" s="358">
        <f t="shared" si="93"/>
        <v>0</v>
      </c>
      <c r="F95" s="333">
        <f t="shared" si="93"/>
        <v>0</v>
      </c>
      <c r="G95" s="250">
        <f t="shared" si="86"/>
        <v>-4090.1379057330296</v>
      </c>
      <c r="H95" s="250">
        <f t="shared" si="87"/>
        <v>0</v>
      </c>
      <c r="I95" s="250">
        <f t="shared" si="88"/>
        <v>310478.65459249675</v>
      </c>
      <c r="J95" s="250">
        <f t="shared" si="89"/>
        <v>310478.65459249675</v>
      </c>
      <c r="K95" s="250">
        <f t="shared" si="90"/>
        <v>7156.856403622194</v>
      </c>
      <c r="L95" s="250">
        <f t="shared" si="91"/>
        <v>53728.65459249675</v>
      </c>
      <c r="M95" s="250">
        <f t="shared" si="92"/>
        <v>46571.798188874556</v>
      </c>
      <c r="O95" s="141">
        <v>37346</v>
      </c>
      <c r="P95" s="159">
        <f t="shared" si="94"/>
        <v>0.102</v>
      </c>
      <c r="Q95" s="137">
        <f t="shared" si="98"/>
        <v>0.0255</v>
      </c>
      <c r="R95" s="137">
        <f t="shared" si="95"/>
        <v>0.0255</v>
      </c>
      <c r="S95" s="259">
        <f t="shared" si="96"/>
        <v>1.9875</v>
      </c>
      <c r="T95" s="162">
        <f t="shared" si="99"/>
        <v>256603.77358490563</v>
      </c>
      <c r="U95" s="162">
        <f t="shared" si="100"/>
        <v>256750</v>
      </c>
      <c r="V95" s="162">
        <f t="shared" si="101"/>
        <v>256603.77358490563</v>
      </c>
      <c r="W95" s="162">
        <f t="shared" si="102"/>
        <v>256457.54716981127</v>
      </c>
      <c r="X95" s="4">
        <f t="shared" si="103"/>
        <v>-146.22641509436653</v>
      </c>
      <c r="Y95" s="190">
        <v>0</v>
      </c>
      <c r="Z95"/>
      <c r="AA95"/>
      <c r="AB95"/>
      <c r="AC95"/>
      <c r="AD95" s="49"/>
      <c r="AE95" s="49"/>
      <c r="AF95" s="140">
        <v>0</v>
      </c>
      <c r="AG95" s="139">
        <f t="shared" si="97"/>
        <v>1</v>
      </c>
      <c r="AH95" s="49"/>
      <c r="AI95" s="49"/>
      <c r="AJ95"/>
      <c r="AK95"/>
    </row>
    <row r="96" spans="1:37" ht="12.75">
      <c r="A96" s="94">
        <f t="shared" si="82"/>
        <v>37802</v>
      </c>
      <c r="B96" s="212">
        <f t="shared" si="83"/>
        <v>1.93</v>
      </c>
      <c r="C96" s="364">
        <f t="shared" si="84"/>
        <v>0.102</v>
      </c>
      <c r="D96" s="364">
        <f t="shared" si="85"/>
        <v>0.12</v>
      </c>
      <c r="E96" s="364">
        <f t="shared" si="93"/>
        <v>0</v>
      </c>
      <c r="F96" s="339">
        <f t="shared" si="93"/>
        <v>0</v>
      </c>
      <c r="G96" s="256">
        <f t="shared" si="86"/>
        <v>-7646.45508407207</v>
      </c>
      <c r="H96" s="256">
        <f t="shared" si="87"/>
        <v>0</v>
      </c>
      <c r="I96" s="256">
        <f t="shared" si="88"/>
        <v>310880.82901554403</v>
      </c>
      <c r="J96" s="256">
        <f t="shared" si="89"/>
        <v>310880.82901554403</v>
      </c>
      <c r="K96" s="256">
        <f t="shared" si="90"/>
        <v>7498.704663212411</v>
      </c>
      <c r="L96" s="256">
        <f t="shared" si="91"/>
        <v>54130.82901554403</v>
      </c>
      <c r="M96" s="256">
        <f t="shared" si="92"/>
        <v>46632.12435233162</v>
      </c>
      <c r="O96" s="141">
        <v>37437</v>
      </c>
      <c r="P96" s="159">
        <f t="shared" si="94"/>
        <v>0.102</v>
      </c>
      <c r="Q96" s="137">
        <f t="shared" si="98"/>
        <v>0.0255</v>
      </c>
      <c r="R96" s="137">
        <f t="shared" si="95"/>
        <v>0.0255</v>
      </c>
      <c r="S96" s="259">
        <f t="shared" si="96"/>
        <v>1.9825</v>
      </c>
      <c r="T96" s="162">
        <f t="shared" si="99"/>
        <v>257250.94577553592</v>
      </c>
      <c r="U96" s="162">
        <f t="shared" si="100"/>
        <v>256750</v>
      </c>
      <c r="V96" s="162">
        <f t="shared" si="101"/>
        <v>257250.94577553592</v>
      </c>
      <c r="W96" s="162">
        <f t="shared" si="102"/>
        <v>257751.89155107184</v>
      </c>
      <c r="X96" s="4">
        <f t="shared" si="103"/>
        <v>500.9457755359181</v>
      </c>
      <c r="Y96" s="190">
        <v>0</v>
      </c>
      <c r="Z96"/>
      <c r="AA96"/>
      <c r="AB96"/>
      <c r="AC96"/>
      <c r="AD96" s="49"/>
      <c r="AE96" s="49"/>
      <c r="AF96" s="140">
        <v>0</v>
      </c>
      <c r="AG96" s="139">
        <f t="shared" si="97"/>
        <v>1</v>
      </c>
      <c r="AH96" s="49"/>
      <c r="AI96" s="49"/>
      <c r="AJ96"/>
      <c r="AK96"/>
    </row>
    <row r="97" spans="8:37" ht="15.75">
      <c r="H97" s="350" t="s">
        <v>228</v>
      </c>
      <c r="I97" s="321">
        <f>SUM(I88:I96)</f>
        <v>2434281.863302057</v>
      </c>
      <c r="J97" s="321">
        <f>SUM(J88:J96)</f>
        <v>2434281.863302057</v>
      </c>
      <c r="K97" s="321">
        <f>SUM(K88:K96)</f>
        <v>15139.58380674859</v>
      </c>
      <c r="L97" s="321">
        <f>SUM(L88:L96)</f>
        <v>380281.86330205743</v>
      </c>
      <c r="M97" s="321">
        <f>SUM(M88:M96)</f>
        <v>365142.2794953088</v>
      </c>
      <c r="O97" s="141">
        <v>37529</v>
      </c>
      <c r="P97" s="159">
        <f t="shared" si="94"/>
        <v>0.102</v>
      </c>
      <c r="Q97" s="137">
        <f t="shared" si="98"/>
        <v>0.0255</v>
      </c>
      <c r="R97" s="137">
        <f t="shared" si="95"/>
        <v>0.0255</v>
      </c>
      <c r="S97" s="259">
        <f t="shared" si="96"/>
        <v>1.975</v>
      </c>
      <c r="T97" s="162">
        <f t="shared" si="99"/>
        <v>258227.8481012658</v>
      </c>
      <c r="U97" s="162">
        <f t="shared" si="100"/>
        <v>256750</v>
      </c>
      <c r="V97" s="162">
        <f t="shared" si="101"/>
        <v>258227.8481012658</v>
      </c>
      <c r="W97" s="162">
        <f t="shared" si="102"/>
        <v>259705.69620253157</v>
      </c>
      <c r="X97" s="4">
        <f t="shared" si="103"/>
        <v>1477.8481012657867</v>
      </c>
      <c r="Y97" s="190">
        <v>0</v>
      </c>
      <c r="Z97"/>
      <c r="AA97"/>
      <c r="AB97"/>
      <c r="AC97"/>
      <c r="AD97" s="49"/>
      <c r="AE97" s="49"/>
      <c r="AF97" s="140">
        <v>0</v>
      </c>
      <c r="AG97" s="139">
        <f t="shared" si="97"/>
        <v>1</v>
      </c>
      <c r="AH97" s="49"/>
      <c r="AI97" s="49"/>
      <c r="AJ97"/>
      <c r="AK97"/>
    </row>
    <row r="98" spans="1:37" ht="16.5" thickBot="1">
      <c r="A98" s="39" t="s">
        <v>21</v>
      </c>
      <c r="H98" s="350" t="s">
        <v>227</v>
      </c>
      <c r="I98" s="349">
        <f>-K97</f>
        <v>-15139.58380674859</v>
      </c>
      <c r="J98" s="349">
        <f>-K99</f>
        <v>-380281.8633020574</v>
      </c>
      <c r="K98" s="349">
        <f>M97</f>
        <v>365142.2794953088</v>
      </c>
      <c r="L98" s="321" t="s">
        <v>21</v>
      </c>
      <c r="O98" s="189">
        <v>37621</v>
      </c>
      <c r="P98" s="159">
        <f t="shared" si="94"/>
        <v>0.102</v>
      </c>
      <c r="Q98" s="137">
        <f t="shared" si="98"/>
        <v>0.0255</v>
      </c>
      <c r="R98" s="137">
        <f t="shared" si="95"/>
        <v>0.0255</v>
      </c>
      <c r="S98" s="259">
        <f t="shared" si="96"/>
        <v>1.9685</v>
      </c>
      <c r="T98" s="162">
        <f t="shared" si="99"/>
        <v>259080.5181610363</v>
      </c>
      <c r="U98" s="162">
        <f t="shared" si="100"/>
        <v>256750</v>
      </c>
      <c r="V98" s="162">
        <f t="shared" si="101"/>
        <v>259080.5181610363</v>
      </c>
      <c r="W98" s="162">
        <f t="shared" si="102"/>
        <v>261411.0363220726</v>
      </c>
      <c r="X98" s="4">
        <f t="shared" si="103"/>
        <v>2330.518161036307</v>
      </c>
      <c r="Y98" s="190">
        <v>0</v>
      </c>
      <c r="Z98"/>
      <c r="AA98"/>
      <c r="AB98"/>
      <c r="AC98"/>
      <c r="AD98" s="49"/>
      <c r="AE98" s="49"/>
      <c r="AF98" s="140">
        <v>0</v>
      </c>
      <c r="AG98" s="139">
        <f t="shared" si="97"/>
        <v>1</v>
      </c>
      <c r="AH98" s="49"/>
      <c r="AI98" s="49"/>
      <c r="AJ98"/>
      <c r="AK98"/>
    </row>
    <row r="99" spans="8:37" ht="16.5" thickTop="1">
      <c r="H99" s="351" t="s">
        <v>226</v>
      </c>
      <c r="I99" s="321">
        <f>I97+I98</f>
        <v>2419142.2794953086</v>
      </c>
      <c r="J99" s="321">
        <f>J97+J98</f>
        <v>2053999.9999999998</v>
      </c>
      <c r="K99" s="321">
        <f>K97+K98</f>
        <v>380281.8633020574</v>
      </c>
      <c r="O99" s="141">
        <v>37711</v>
      </c>
      <c r="P99" s="159">
        <f t="shared" si="94"/>
        <v>0.102</v>
      </c>
      <c r="Q99" s="137">
        <f t="shared" si="98"/>
        <v>0.0255</v>
      </c>
      <c r="R99" s="137">
        <f t="shared" si="95"/>
        <v>0.0255</v>
      </c>
      <c r="S99" s="259">
        <f>I125</f>
        <v>1.948</v>
      </c>
      <c r="T99" s="162">
        <f t="shared" si="99"/>
        <v>261806.98151950716</v>
      </c>
      <c r="U99" s="162">
        <f t="shared" si="100"/>
        <v>256750</v>
      </c>
      <c r="V99" s="162">
        <f t="shared" si="101"/>
        <v>261806.98151950716</v>
      </c>
      <c r="W99" s="162">
        <f t="shared" si="102"/>
        <v>266863.9630390143</v>
      </c>
      <c r="X99" s="4">
        <f t="shared" si="103"/>
        <v>5056.981519507157</v>
      </c>
      <c r="Y99" s="190">
        <f>+X99/(1+Q99)^AF99</f>
        <v>4931.235026335598</v>
      </c>
      <c r="Z99"/>
      <c r="AA99"/>
      <c r="AB99"/>
      <c r="AC99"/>
      <c r="AD99" s="49"/>
      <c r="AE99" s="49"/>
      <c r="AF99" s="140">
        <f>1+AF98</f>
        <v>1</v>
      </c>
      <c r="AG99" s="139">
        <f t="shared" si="97"/>
        <v>1.0255</v>
      </c>
      <c r="AH99" s="49"/>
      <c r="AI99" s="49"/>
      <c r="AJ99"/>
      <c r="AK99"/>
    </row>
    <row r="100" spans="8:37" ht="16.5" thickBot="1">
      <c r="H100" s="350" t="s">
        <v>261</v>
      </c>
      <c r="I100" s="349">
        <f>-M97</f>
        <v>-365142.2794953088</v>
      </c>
      <c r="O100" s="164">
        <v>37802</v>
      </c>
      <c r="P100" s="344">
        <f t="shared" si="94"/>
        <v>0.102</v>
      </c>
      <c r="Q100" s="142">
        <f t="shared" si="98"/>
        <v>0.0255</v>
      </c>
      <c r="R100" s="142">
        <f>+AG100/AG99-1</f>
        <v>0.025500000000000078</v>
      </c>
      <c r="S100" s="260">
        <f>I126</f>
        <v>1.9325</v>
      </c>
      <c r="T100" s="165">
        <f t="shared" si="99"/>
        <v>263906.8564036222</v>
      </c>
      <c r="U100" s="165">
        <f t="shared" si="100"/>
        <v>256750</v>
      </c>
      <c r="V100" s="165">
        <f t="shared" si="101"/>
        <v>263906.85640362307</v>
      </c>
      <c r="W100" s="165">
        <f t="shared" si="102"/>
        <v>271063.71280724526</v>
      </c>
      <c r="X100" s="166">
        <f t="shared" si="103"/>
        <v>7156.856403622194</v>
      </c>
      <c r="Y100" s="190">
        <f>+X100/(1+Q100)^AF100</f>
        <v>6805.357963469502</v>
      </c>
      <c r="Z100"/>
      <c r="AA100"/>
      <c r="AB100"/>
      <c r="AC100"/>
      <c r="AD100" s="49"/>
      <c r="AE100" s="49"/>
      <c r="AF100" s="143">
        <f>1+AF99</f>
        <v>2</v>
      </c>
      <c r="AG100" s="144">
        <f t="shared" si="97"/>
        <v>1.0516502500000002</v>
      </c>
      <c r="AH100" s="49"/>
      <c r="AI100" s="49"/>
      <c r="AJ100"/>
      <c r="AK100"/>
    </row>
    <row r="101" spans="8:37" ht="17.25" thickBot="1" thickTop="1">
      <c r="H101" s="350" t="s">
        <v>262</v>
      </c>
      <c r="I101" s="321">
        <f>I99+I100</f>
        <v>2053999.9999999998</v>
      </c>
      <c r="J101"/>
      <c r="K101" s="350" t="s">
        <v>288</v>
      </c>
      <c r="L101" s="374">
        <f>W$3</f>
        <v>0.102</v>
      </c>
      <c r="M101" s="375" t="s">
        <v>289</v>
      </c>
      <c r="N101" s="374">
        <f>G$68</f>
        <v>0.12</v>
      </c>
      <c r="O101" t="s">
        <v>61</v>
      </c>
      <c r="P101"/>
      <c r="Q101"/>
      <c r="R101"/>
      <c r="S101"/>
      <c r="T101"/>
      <c r="U101" s="162"/>
      <c r="V101" s="162"/>
      <c r="W101" s="162"/>
      <c r="X101" s="4">
        <f>SUM(X93:X100)</f>
        <v>13068.317091031815</v>
      </c>
      <c r="Y101" s="191">
        <f>SUM(Y99:Y100)</f>
        <v>11736.5929898051</v>
      </c>
      <c r="Z101"/>
      <c r="AA101" s="147">
        <v>0.0012973811326536413</v>
      </c>
      <c r="AB101"/>
      <c r="AC101" s="36">
        <f>+AB88</f>
        <v>37621</v>
      </c>
      <c r="AD101" t="s">
        <v>62</v>
      </c>
      <c r="AE101" s="49"/>
      <c r="AF101" s="49"/>
      <c r="AG101" s="49"/>
      <c r="AH101" s="49"/>
      <c r="AI101" s="49"/>
      <c r="AJ101"/>
      <c r="AK101"/>
    </row>
    <row r="102" spans="6:37" ht="13.5" thickTop="1">
      <c r="F102" s="39" t="s">
        <v>257</v>
      </c>
      <c r="O102" s="145" t="s">
        <v>21</v>
      </c>
      <c r="P102" s="146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49"/>
      <c r="AE102" s="49"/>
      <c r="AF102" s="49"/>
      <c r="AG102" s="49"/>
      <c r="AH102" s="49"/>
      <c r="AI102" s="49"/>
      <c r="AJ102"/>
      <c r="AK102"/>
    </row>
    <row r="103" spans="1:37" ht="12.75">
      <c r="A103" s="39" t="s">
        <v>138</v>
      </c>
      <c r="O103"/>
      <c r="P103" s="194">
        <v>37711</v>
      </c>
      <c r="Q103" s="1"/>
      <c r="R103" s="1" t="s">
        <v>35</v>
      </c>
      <c r="S103" s="1" t="s">
        <v>107</v>
      </c>
      <c r="T103" s="386" t="s">
        <v>5</v>
      </c>
      <c r="U103" s="386"/>
      <c r="V103" s="1" t="s">
        <v>37</v>
      </c>
      <c r="W103"/>
      <c r="X103" s="1" t="s">
        <v>30</v>
      </c>
      <c r="Y103" s="194">
        <f>P103</f>
        <v>37711</v>
      </c>
      <c r="Z103"/>
      <c r="AA103"/>
      <c r="AB103"/>
      <c r="AC103"/>
      <c r="AD103" s="49"/>
      <c r="AE103" s="49"/>
      <c r="AF103" s="49"/>
      <c r="AG103" s="49"/>
      <c r="AH103" s="49"/>
      <c r="AI103" s="49"/>
      <c r="AJ103"/>
      <c r="AK103"/>
    </row>
    <row r="104" spans="1:37" ht="12.75">
      <c r="A104" s="39" t="s">
        <v>139</v>
      </c>
      <c r="O104"/>
      <c r="P104" s="1" t="s">
        <v>54</v>
      </c>
      <c r="Q104" s="1" t="s">
        <v>35</v>
      </c>
      <c r="R104" s="1" t="s">
        <v>64</v>
      </c>
      <c r="S104" s="1" t="s">
        <v>108</v>
      </c>
      <c r="T104" s="1" t="s">
        <v>59</v>
      </c>
      <c r="U104" s="1" t="s">
        <v>60</v>
      </c>
      <c r="V104" s="80" t="s">
        <v>110</v>
      </c>
      <c r="W104"/>
      <c r="X104" s="80" t="s">
        <v>5</v>
      </c>
      <c r="Y104" s="1" t="s">
        <v>5</v>
      </c>
      <c r="Z104"/>
      <c r="AA104"/>
      <c r="AB104"/>
      <c r="AC104"/>
      <c r="AD104" s="49"/>
      <c r="AE104" s="49"/>
      <c r="AF104" s="49"/>
      <c r="AG104" s="49"/>
      <c r="AH104" s="49"/>
      <c r="AI104" s="49"/>
      <c r="AJ104"/>
      <c r="AK104"/>
    </row>
    <row r="105" spans="1:37" ht="12.75">
      <c r="A105" s="39" t="s">
        <v>140</v>
      </c>
      <c r="O105" s="133" t="s">
        <v>56</v>
      </c>
      <c r="P105" s="133" t="s">
        <v>55</v>
      </c>
      <c r="Q105" s="133" t="s">
        <v>67</v>
      </c>
      <c r="R105" s="133" t="s">
        <v>57</v>
      </c>
      <c r="S105" s="133" t="s">
        <v>26</v>
      </c>
      <c r="T105" s="134" t="s">
        <v>41</v>
      </c>
      <c r="U105" s="134" t="s">
        <v>109</v>
      </c>
      <c r="V105" s="134" t="s">
        <v>111</v>
      </c>
      <c r="W105" s="134" t="s">
        <v>68</v>
      </c>
      <c r="X105" s="134" t="s">
        <v>65</v>
      </c>
      <c r="Y105" s="134" t="s">
        <v>25</v>
      </c>
      <c r="Z105"/>
      <c r="AA105"/>
      <c r="AB105"/>
      <c r="AC105"/>
      <c r="AD105" s="49"/>
      <c r="AE105" s="49"/>
      <c r="AF105" s="49"/>
      <c r="AG105" s="133" t="s">
        <v>58</v>
      </c>
      <c r="AH105" s="133" t="s">
        <v>70</v>
      </c>
      <c r="AI105" s="49"/>
      <c r="AJ105"/>
      <c r="AK105"/>
    </row>
    <row r="106" spans="1:37" ht="12.75">
      <c r="A106" s="39" t="s">
        <v>141</v>
      </c>
      <c r="O106" s="148">
        <v>37073</v>
      </c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/>
      <c r="AA106"/>
      <c r="AB106"/>
      <c r="AC106"/>
      <c r="AD106" s="49"/>
      <c r="AE106" s="49"/>
      <c r="AF106" s="49"/>
      <c r="AG106" s="136"/>
      <c r="AH106" s="136"/>
      <c r="AI106" s="49"/>
      <c r="AJ106"/>
      <c r="AK106"/>
    </row>
    <row r="107" spans="1:37" ht="12.75">
      <c r="A107" s="39" t="s">
        <v>21</v>
      </c>
      <c r="O107" s="148">
        <v>37164</v>
      </c>
      <c r="P107" s="155">
        <f aca="true" t="shared" si="104" ref="P107:P114">W$3</f>
        <v>0.102</v>
      </c>
      <c r="Q107" s="137">
        <f>+P107/4</f>
        <v>0.0255</v>
      </c>
      <c r="R107" s="137">
        <f aca="true" t="shared" si="105" ref="R107:R114">+Q107</f>
        <v>0.0255</v>
      </c>
      <c r="S107" s="259">
        <f aca="true" t="shared" si="106" ref="S107:S112">S93</f>
        <v>2</v>
      </c>
      <c r="T107" s="162">
        <f>Q107*W$2/S107</f>
        <v>254999.99999999997</v>
      </c>
      <c r="U107" s="162">
        <f>X$2*X$3/4</f>
        <v>256750</v>
      </c>
      <c r="V107" s="162">
        <f>+(R107)*W$2/S107</f>
        <v>254999.99999999997</v>
      </c>
      <c r="W107" s="162">
        <f>+T107-U107+V107</f>
        <v>253249.99999999994</v>
      </c>
      <c r="X107" s="4">
        <f>+W107-V107</f>
        <v>-1750.000000000029</v>
      </c>
      <c r="Y107" s="172">
        <v>0</v>
      </c>
      <c r="Z107"/>
      <c r="AA107"/>
      <c r="AB107"/>
      <c r="AC107"/>
      <c r="AD107" s="49"/>
      <c r="AE107" s="49"/>
      <c r="AF107" s="49"/>
      <c r="AG107" s="138">
        <v>0</v>
      </c>
      <c r="AH107" s="139">
        <f aca="true" t="shared" si="107" ref="AH107:AH114">+(1+Q107)^AG107</f>
        <v>1</v>
      </c>
      <c r="AI107" s="49"/>
      <c r="AJ107"/>
      <c r="AK107"/>
    </row>
    <row r="108" spans="1:37" ht="12.75">
      <c r="A108" s="39" t="s">
        <v>142</v>
      </c>
      <c r="O108" s="141">
        <v>37256</v>
      </c>
      <c r="P108" s="155">
        <f t="shared" si="104"/>
        <v>0.102</v>
      </c>
      <c r="Q108" s="137">
        <f aca="true" t="shared" si="108" ref="Q108:Q114">+P108/4</f>
        <v>0.0255</v>
      </c>
      <c r="R108" s="137">
        <f t="shared" si="105"/>
        <v>0.0255</v>
      </c>
      <c r="S108" s="259">
        <f t="shared" si="106"/>
        <v>1.9985</v>
      </c>
      <c r="T108" s="162">
        <f aca="true" t="shared" si="109" ref="T108:T114">Q108*W$2/S108</f>
        <v>255191.39354515885</v>
      </c>
      <c r="U108" s="162">
        <f aca="true" t="shared" si="110" ref="U108:U114">X$2*X$3/4</f>
        <v>256750</v>
      </c>
      <c r="V108" s="162">
        <f aca="true" t="shared" si="111" ref="V108:V114">+(R108)*W$2/S108</f>
        <v>255191.39354515885</v>
      </c>
      <c r="W108" s="162">
        <f aca="true" t="shared" si="112" ref="W108:W114">+T108-U108+V108</f>
        <v>253632.7870903177</v>
      </c>
      <c r="X108" s="4">
        <f aca="true" t="shared" si="113" ref="X108:X114">+W108-V108</f>
        <v>-1558.6064548411523</v>
      </c>
      <c r="Y108" s="172">
        <v>0</v>
      </c>
      <c r="Z108"/>
      <c r="AA108"/>
      <c r="AB108"/>
      <c r="AC108"/>
      <c r="AD108" s="49"/>
      <c r="AE108" s="49"/>
      <c r="AF108" s="49"/>
      <c r="AG108" s="140">
        <v>0</v>
      </c>
      <c r="AH108" s="139">
        <f t="shared" si="107"/>
        <v>1</v>
      </c>
      <c r="AI108" s="49"/>
      <c r="AJ108"/>
      <c r="AK108"/>
    </row>
    <row r="109" spans="1:37" ht="12.75">
      <c r="A109" s="39" t="s">
        <v>143</v>
      </c>
      <c r="O109" s="192">
        <v>37346</v>
      </c>
      <c r="P109" s="155">
        <f t="shared" si="104"/>
        <v>0.102</v>
      </c>
      <c r="Q109" s="137">
        <f t="shared" si="108"/>
        <v>0.0255</v>
      </c>
      <c r="R109" s="137">
        <f t="shared" si="105"/>
        <v>0.0255</v>
      </c>
      <c r="S109" s="259">
        <f t="shared" si="106"/>
        <v>1.9875</v>
      </c>
      <c r="T109" s="162">
        <f t="shared" si="109"/>
        <v>256603.77358490563</v>
      </c>
      <c r="U109" s="162">
        <f t="shared" si="110"/>
        <v>256750</v>
      </c>
      <c r="V109" s="162">
        <f t="shared" si="111"/>
        <v>256603.77358490563</v>
      </c>
      <c r="W109" s="162">
        <f t="shared" si="112"/>
        <v>256457.54716981127</v>
      </c>
      <c r="X109" s="4">
        <f t="shared" si="113"/>
        <v>-146.22641509436653</v>
      </c>
      <c r="Y109" s="172">
        <v>0</v>
      </c>
      <c r="Z109"/>
      <c r="AA109"/>
      <c r="AB109"/>
      <c r="AC109"/>
      <c r="AD109" s="49"/>
      <c r="AE109" s="49"/>
      <c r="AF109" s="49"/>
      <c r="AG109" s="140">
        <v>0</v>
      </c>
      <c r="AH109" s="139">
        <f t="shared" si="107"/>
        <v>1</v>
      </c>
      <c r="AI109" s="49"/>
      <c r="AJ109"/>
      <c r="AK109"/>
    </row>
    <row r="110" spans="1:37" ht="12.75">
      <c r="A110" s="39" t="s">
        <v>144</v>
      </c>
      <c r="O110" s="192">
        <v>37437</v>
      </c>
      <c r="P110" s="155">
        <f t="shared" si="104"/>
        <v>0.102</v>
      </c>
      <c r="Q110" s="137">
        <f t="shared" si="108"/>
        <v>0.0255</v>
      </c>
      <c r="R110" s="137">
        <f t="shared" si="105"/>
        <v>0.0255</v>
      </c>
      <c r="S110" s="259">
        <f t="shared" si="106"/>
        <v>1.9825</v>
      </c>
      <c r="T110" s="162">
        <f t="shared" si="109"/>
        <v>257250.94577553592</v>
      </c>
      <c r="U110" s="162">
        <f t="shared" si="110"/>
        <v>256750</v>
      </c>
      <c r="V110" s="162">
        <f t="shared" si="111"/>
        <v>257250.94577553592</v>
      </c>
      <c r="W110" s="162">
        <f t="shared" si="112"/>
        <v>257751.89155107184</v>
      </c>
      <c r="X110" s="4">
        <f t="shared" si="113"/>
        <v>500.9457755359181</v>
      </c>
      <c r="Y110" s="172">
        <v>0</v>
      </c>
      <c r="Z110"/>
      <c r="AA110"/>
      <c r="AB110"/>
      <c r="AC110"/>
      <c r="AD110" s="49"/>
      <c r="AE110" s="49"/>
      <c r="AF110" s="49"/>
      <c r="AG110" s="140">
        <v>0</v>
      </c>
      <c r="AH110" s="139">
        <f t="shared" si="107"/>
        <v>1</v>
      </c>
      <c r="AI110" s="49"/>
      <c r="AJ110"/>
      <c r="AK110"/>
    </row>
    <row r="111" spans="15:37" ht="12.75">
      <c r="O111" s="192">
        <v>37529</v>
      </c>
      <c r="P111" s="155">
        <f t="shared" si="104"/>
        <v>0.102</v>
      </c>
      <c r="Q111" s="137">
        <f t="shared" si="108"/>
        <v>0.0255</v>
      </c>
      <c r="R111" s="137">
        <f t="shared" si="105"/>
        <v>0.0255</v>
      </c>
      <c r="S111" s="259">
        <f t="shared" si="106"/>
        <v>1.975</v>
      </c>
      <c r="T111" s="162">
        <f t="shared" si="109"/>
        <v>258227.8481012658</v>
      </c>
      <c r="U111" s="162">
        <f t="shared" si="110"/>
        <v>256750</v>
      </c>
      <c r="V111" s="162">
        <f t="shared" si="111"/>
        <v>258227.8481012658</v>
      </c>
      <c r="W111" s="162">
        <f t="shared" si="112"/>
        <v>259705.69620253157</v>
      </c>
      <c r="X111" s="4">
        <f t="shared" si="113"/>
        <v>1477.8481012657867</v>
      </c>
      <c r="Y111" s="172">
        <v>0</v>
      </c>
      <c r="Z111"/>
      <c r="AA111"/>
      <c r="AB111"/>
      <c r="AC111"/>
      <c r="AD111" s="49"/>
      <c r="AE111" s="49"/>
      <c r="AF111" s="49"/>
      <c r="AG111" s="140">
        <v>0</v>
      </c>
      <c r="AH111" s="139">
        <f t="shared" si="107"/>
        <v>1</v>
      </c>
      <c r="AI111" s="49"/>
      <c r="AJ111"/>
      <c r="AK111"/>
    </row>
    <row r="112" spans="1:37" ht="12.75">
      <c r="A112" s="43" t="s">
        <v>145</v>
      </c>
      <c r="O112" s="192">
        <v>37621</v>
      </c>
      <c r="P112" s="155">
        <f t="shared" si="104"/>
        <v>0.102</v>
      </c>
      <c r="Q112" s="137">
        <f t="shared" si="108"/>
        <v>0.0255</v>
      </c>
      <c r="R112" s="137">
        <f t="shared" si="105"/>
        <v>0.0255</v>
      </c>
      <c r="S112" s="259">
        <f t="shared" si="106"/>
        <v>1.9685</v>
      </c>
      <c r="T112" s="162">
        <f t="shared" si="109"/>
        <v>259080.5181610363</v>
      </c>
      <c r="U112" s="162">
        <f t="shared" si="110"/>
        <v>256750</v>
      </c>
      <c r="V112" s="162">
        <f t="shared" si="111"/>
        <v>259080.5181610363</v>
      </c>
      <c r="W112" s="162">
        <f t="shared" si="112"/>
        <v>261411.0363220726</v>
      </c>
      <c r="X112" s="4">
        <f t="shared" si="113"/>
        <v>2330.518161036307</v>
      </c>
      <c r="Y112" s="172">
        <v>0</v>
      </c>
      <c r="Z112"/>
      <c r="AA112"/>
      <c r="AB112"/>
      <c r="AC112"/>
      <c r="AD112" s="49"/>
      <c r="AE112" s="49"/>
      <c r="AF112" s="49"/>
      <c r="AG112" s="140">
        <v>0</v>
      </c>
      <c r="AH112" s="139">
        <f t="shared" si="107"/>
        <v>1</v>
      </c>
      <c r="AI112" s="49"/>
      <c r="AJ112"/>
      <c r="AK112"/>
    </row>
    <row r="113" spans="15:37" ht="12.75">
      <c r="O113" s="192">
        <v>37711</v>
      </c>
      <c r="P113" s="155">
        <f t="shared" si="104"/>
        <v>0.102</v>
      </c>
      <c r="Q113" s="137">
        <f t="shared" si="108"/>
        <v>0.0255</v>
      </c>
      <c r="R113" s="137">
        <f t="shared" si="105"/>
        <v>0.0255</v>
      </c>
      <c r="S113" s="259">
        <f>S99</f>
        <v>1.948</v>
      </c>
      <c r="T113" s="162">
        <f t="shared" si="109"/>
        <v>261806.98151950716</v>
      </c>
      <c r="U113" s="162">
        <f t="shared" si="110"/>
        <v>256750</v>
      </c>
      <c r="V113" s="162">
        <f t="shared" si="111"/>
        <v>261806.98151950716</v>
      </c>
      <c r="W113" s="162">
        <f t="shared" si="112"/>
        <v>266863.9630390143</v>
      </c>
      <c r="X113" s="4">
        <f t="shared" si="113"/>
        <v>5056.981519507157</v>
      </c>
      <c r="Y113" s="172">
        <v>0</v>
      </c>
      <c r="Z113"/>
      <c r="AA113"/>
      <c r="AB113"/>
      <c r="AC113"/>
      <c r="AD113" s="49"/>
      <c r="AE113" s="49"/>
      <c r="AF113" s="49"/>
      <c r="AG113" s="140">
        <v>0</v>
      </c>
      <c r="AH113" s="139">
        <f t="shared" si="107"/>
        <v>1</v>
      </c>
      <c r="AI113" s="49"/>
      <c r="AJ113"/>
      <c r="AK113"/>
    </row>
    <row r="114" spans="2:37" ht="13.5" thickBot="1">
      <c r="B114" s="46" t="s">
        <v>112</v>
      </c>
      <c r="C114" s="46" t="s">
        <v>112</v>
      </c>
      <c r="D114" s="46" t="s">
        <v>112</v>
      </c>
      <c r="E114" s="46" t="s">
        <v>112</v>
      </c>
      <c r="F114" s="46" t="s">
        <v>112</v>
      </c>
      <c r="G114" s="46" t="s">
        <v>112</v>
      </c>
      <c r="H114" s="46" t="s">
        <v>112</v>
      </c>
      <c r="I114" s="46" t="s">
        <v>112</v>
      </c>
      <c r="O114" s="193">
        <v>37802</v>
      </c>
      <c r="P114" s="343">
        <f t="shared" si="104"/>
        <v>0.102</v>
      </c>
      <c r="Q114" s="142">
        <f t="shared" si="108"/>
        <v>0.0255</v>
      </c>
      <c r="R114" s="142">
        <f t="shared" si="105"/>
        <v>0.0255</v>
      </c>
      <c r="S114" s="260">
        <f>J126</f>
        <v>1.9275</v>
      </c>
      <c r="T114" s="165">
        <f t="shared" si="109"/>
        <v>264591.4396887159</v>
      </c>
      <c r="U114" s="165">
        <f t="shared" si="110"/>
        <v>256750</v>
      </c>
      <c r="V114" s="165">
        <f t="shared" si="111"/>
        <v>264591.4396887159</v>
      </c>
      <c r="W114" s="165">
        <f t="shared" si="112"/>
        <v>272432.8793774318</v>
      </c>
      <c r="X114" s="166">
        <f t="shared" si="113"/>
        <v>7841.439688715909</v>
      </c>
      <c r="Y114" s="172">
        <f>+X114/(1+Q114)^AG114</f>
        <v>7646.45508407207</v>
      </c>
      <c r="Z114"/>
      <c r="AA114"/>
      <c r="AB114"/>
      <c r="AC114"/>
      <c r="AD114" s="49"/>
      <c r="AE114" s="49"/>
      <c r="AF114" s="49"/>
      <c r="AG114" s="143">
        <f>1+AG113</f>
        <v>1</v>
      </c>
      <c r="AH114" s="144">
        <f t="shared" si="107"/>
        <v>1.0255</v>
      </c>
      <c r="AI114" s="49"/>
      <c r="AJ114"/>
      <c r="AK114"/>
    </row>
    <row r="115" spans="2:37" ht="13.5" thickBot="1">
      <c r="B115" s="47" t="s">
        <v>63</v>
      </c>
      <c r="C115" s="47" t="s">
        <v>52</v>
      </c>
      <c r="D115" s="47" t="s">
        <v>52</v>
      </c>
      <c r="E115" s="47" t="s">
        <v>52</v>
      </c>
      <c r="F115" s="47" t="s">
        <v>52</v>
      </c>
      <c r="G115" s="47" t="s">
        <v>52</v>
      </c>
      <c r="H115" s="47" t="s">
        <v>52</v>
      </c>
      <c r="I115" s="47" t="s">
        <v>52</v>
      </c>
      <c r="O115" t="s">
        <v>61</v>
      </c>
      <c r="P115"/>
      <c r="Q115"/>
      <c r="R115"/>
      <c r="S115"/>
      <c r="T115"/>
      <c r="U115" s="162"/>
      <c r="V115" s="162"/>
      <c r="W115" s="162"/>
      <c r="X115" s="4">
        <f>SUM(X107:X114)</f>
        <v>13752.90037612553</v>
      </c>
      <c r="Y115" s="173">
        <f>SUM(Y113:Y114)</f>
        <v>7646.45508407207</v>
      </c>
      <c r="Z115"/>
      <c r="AA115"/>
      <c r="AB115"/>
      <c r="AC115" s="36" t="e">
        <f>+#REF!</f>
        <v>#REF!</v>
      </c>
      <c r="AD115" t="s">
        <v>62</v>
      </c>
      <c r="AE115" s="49"/>
      <c r="AF115" s="49"/>
      <c r="AG115" s="49"/>
      <c r="AH115" s="49"/>
      <c r="AI115" s="49"/>
      <c r="AJ115"/>
      <c r="AK115"/>
    </row>
    <row r="116" spans="2:37" ht="12.75">
      <c r="B116" s="47" t="s">
        <v>107</v>
      </c>
      <c r="C116" s="47" t="s">
        <v>107</v>
      </c>
      <c r="D116" s="47" t="s">
        <v>107</v>
      </c>
      <c r="E116" s="47" t="s">
        <v>107</v>
      </c>
      <c r="F116" s="47" t="s">
        <v>107</v>
      </c>
      <c r="G116" s="47" t="s">
        <v>107</v>
      </c>
      <c r="H116" s="47" t="s">
        <v>107</v>
      </c>
      <c r="I116" s="47" t="s">
        <v>107</v>
      </c>
      <c r="O116" s="145" t="s">
        <v>21</v>
      </c>
      <c r="P116" s="14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49"/>
      <c r="AE116" s="49"/>
      <c r="AF116" s="49"/>
      <c r="AG116" s="49"/>
      <c r="AH116" s="49"/>
      <c r="AI116" s="49"/>
      <c r="AJ116"/>
      <c r="AK116"/>
    </row>
    <row r="117" spans="1:37" ht="12.75">
      <c r="A117" s="34" t="s">
        <v>34</v>
      </c>
      <c r="B117" s="48" t="s">
        <v>45</v>
      </c>
      <c r="C117" s="48" t="s">
        <v>45</v>
      </c>
      <c r="D117" s="48" t="s">
        <v>45</v>
      </c>
      <c r="E117" s="48" t="s">
        <v>45</v>
      </c>
      <c r="F117" s="48" t="s">
        <v>45</v>
      </c>
      <c r="G117" s="48" t="s">
        <v>45</v>
      </c>
      <c r="H117" s="48" t="s">
        <v>45</v>
      </c>
      <c r="I117" s="48" t="s">
        <v>45</v>
      </c>
      <c r="O117" s="145"/>
      <c r="P117" s="14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49"/>
      <c r="AE117" s="49"/>
      <c r="AF117" s="49"/>
      <c r="AG117" s="49"/>
      <c r="AH117" s="49"/>
      <c r="AI117" s="49"/>
      <c r="AJ117"/>
      <c r="AK117"/>
    </row>
    <row r="118" spans="1:37" ht="12.75">
      <c r="A118" s="153">
        <f>E22</f>
        <v>37073</v>
      </c>
      <c r="B118" s="296">
        <v>2</v>
      </c>
      <c r="C118" s="93">
        <f>A119</f>
        <v>37164</v>
      </c>
      <c r="D118" s="103"/>
      <c r="E118" s="103"/>
      <c r="F118" s="103"/>
      <c r="G118" s="103"/>
      <c r="H118" s="103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2.75">
      <c r="A119" s="93">
        <f aca="true" t="shared" si="114" ref="A119:A126">E23</f>
        <v>37164</v>
      </c>
      <c r="B119" s="296">
        <v>2.0225</v>
      </c>
      <c r="C119" s="297">
        <v>2</v>
      </c>
      <c r="D119" s="88">
        <f>A120</f>
        <v>37256</v>
      </c>
      <c r="E119" s="103"/>
      <c r="F119" s="103"/>
      <c r="G119" s="103"/>
      <c r="H119" s="103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2" ht="12.75">
      <c r="A120" s="154">
        <f t="shared" si="114"/>
        <v>37256</v>
      </c>
      <c r="B120" s="296">
        <v>2.015</v>
      </c>
      <c r="C120" s="297">
        <v>1.9945</v>
      </c>
      <c r="D120" s="298">
        <v>1.9985</v>
      </c>
      <c r="E120" s="89">
        <f>A121</f>
        <v>37346</v>
      </c>
      <c r="F120" s="103"/>
      <c r="G120" s="103"/>
      <c r="H120" s="103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 s="49"/>
    </row>
    <row r="121" spans="1:32" ht="12.75">
      <c r="A121" s="89">
        <f t="shared" si="114"/>
        <v>37346</v>
      </c>
      <c r="B121" s="296">
        <v>1.9875</v>
      </c>
      <c r="C121" s="297">
        <v>1.9937</v>
      </c>
      <c r="D121" s="298">
        <v>1.9975</v>
      </c>
      <c r="E121" s="299">
        <v>1.9875</v>
      </c>
      <c r="F121" s="90">
        <f>A122</f>
        <v>37437</v>
      </c>
      <c r="G121" s="103"/>
      <c r="H121" s="103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 s="49"/>
    </row>
    <row r="122" spans="1:32" ht="12.75">
      <c r="A122" s="90">
        <f t="shared" si="114"/>
        <v>37437</v>
      </c>
      <c r="B122" s="296">
        <v>1.975</v>
      </c>
      <c r="C122" s="297">
        <v>1.983</v>
      </c>
      <c r="D122" s="298">
        <v>1.995</v>
      </c>
      <c r="E122" s="299">
        <v>1.9825</v>
      </c>
      <c r="F122" s="301">
        <v>1.9825</v>
      </c>
      <c r="G122" s="91">
        <f>A123</f>
        <v>37529</v>
      </c>
      <c r="H122" s="103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 s="49"/>
    </row>
    <row r="123" spans="1:32" ht="12.75">
      <c r="A123" s="91">
        <f t="shared" si="114"/>
        <v>37529</v>
      </c>
      <c r="B123" s="296">
        <v>1.9685</v>
      </c>
      <c r="C123" s="297">
        <v>1.9825</v>
      </c>
      <c r="D123" s="298">
        <v>1.99</v>
      </c>
      <c r="E123" s="299">
        <v>1.98</v>
      </c>
      <c r="F123" s="301">
        <v>1.9815</v>
      </c>
      <c r="G123" s="302">
        <v>1.975</v>
      </c>
      <c r="H123" s="92">
        <f>A124</f>
        <v>37621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 s="49"/>
    </row>
    <row r="124" spans="1:32" ht="12.75">
      <c r="A124" s="92">
        <f t="shared" si="114"/>
        <v>37621</v>
      </c>
      <c r="B124" s="296">
        <v>1.948</v>
      </c>
      <c r="C124" s="297">
        <v>1.98</v>
      </c>
      <c r="D124" s="298">
        <v>1.9875</v>
      </c>
      <c r="E124" s="299">
        <v>1.9775</v>
      </c>
      <c r="F124" s="301">
        <v>1.975</v>
      </c>
      <c r="G124" s="302">
        <v>1.9725</v>
      </c>
      <c r="H124" s="303">
        <v>1.9685</v>
      </c>
      <c r="I124" s="93">
        <f>A125</f>
        <v>37711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 s="49"/>
    </row>
    <row r="125" spans="1:32" ht="12.75">
      <c r="A125" s="93">
        <f t="shared" si="114"/>
        <v>37711</v>
      </c>
      <c r="B125" s="296">
        <v>1.9325</v>
      </c>
      <c r="C125" s="297">
        <v>1.9795</v>
      </c>
      <c r="D125" s="298">
        <v>1.985</v>
      </c>
      <c r="E125" s="299">
        <v>1.975</v>
      </c>
      <c r="F125" s="301">
        <v>1.9725</v>
      </c>
      <c r="G125" s="302">
        <v>1.9675</v>
      </c>
      <c r="H125" s="303">
        <v>1.9425</v>
      </c>
      <c r="I125" s="297">
        <v>1.948</v>
      </c>
      <c r="J125" s="201">
        <f>A126</f>
        <v>37802</v>
      </c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 s="49"/>
    </row>
    <row r="126" spans="1:32" ht="12.75">
      <c r="A126" s="94">
        <f t="shared" si="114"/>
        <v>37802</v>
      </c>
      <c r="B126" s="296">
        <v>1.93</v>
      </c>
      <c r="C126" s="297">
        <v>1.97429</v>
      </c>
      <c r="D126" s="298">
        <v>1.9825</v>
      </c>
      <c r="E126" s="299">
        <v>1.9725</v>
      </c>
      <c r="F126" s="301">
        <v>1.97</v>
      </c>
      <c r="G126" s="302">
        <v>1.95</v>
      </c>
      <c r="H126" s="303">
        <v>1.9375</v>
      </c>
      <c r="I126" s="297">
        <v>1.9325</v>
      </c>
      <c r="J126" s="300">
        <v>1.9275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 s="49"/>
    </row>
    <row r="127" spans="1:32" s="35" customFormat="1" ht="12.75">
      <c r="A127" s="86" t="s">
        <v>21</v>
      </c>
      <c r="G127" s="35">
        <v>2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 s="49"/>
    </row>
    <row r="128" spans="2:32" ht="12.75">
      <c r="B128" s="44"/>
      <c r="C128" s="41"/>
      <c r="D128" s="41"/>
      <c r="E128" s="41"/>
      <c r="F128" s="41"/>
      <c r="G128" s="41"/>
      <c r="H128" s="41"/>
      <c r="I128" s="41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 s="49"/>
    </row>
    <row r="129" spans="2:32" ht="12.75">
      <c r="B129" s="44"/>
      <c r="C129" s="40"/>
      <c r="D129" s="103"/>
      <c r="E129" s="103"/>
      <c r="F129" s="103"/>
      <c r="G129" s="103"/>
      <c r="H129" s="103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 s="49"/>
    </row>
    <row r="130" spans="2:32" ht="12.75">
      <c r="B130" s="44"/>
      <c r="C130" s="4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 s="49"/>
    </row>
    <row r="131" s="50" customFormat="1" ht="12.75">
      <c r="AB131" s="161"/>
    </row>
    <row r="133" ht="18">
      <c r="A133" s="33" t="s">
        <v>39</v>
      </c>
    </row>
    <row r="136" ht="12.75">
      <c r="F136" s="51" t="s">
        <v>22</v>
      </c>
    </row>
    <row r="137" spans="1:10" ht="12.75">
      <c r="A137" s="106" t="s">
        <v>21</v>
      </c>
      <c r="B137" s="106"/>
      <c r="C137" s="106"/>
      <c r="D137" s="106"/>
      <c r="E137" s="106"/>
      <c r="F137" s="52" t="s">
        <v>32</v>
      </c>
      <c r="G137" s="53" t="s">
        <v>23</v>
      </c>
      <c r="I137" s="35"/>
      <c r="J137" s="54"/>
    </row>
    <row r="138" spans="1:10" ht="12.75">
      <c r="A138" s="55">
        <f>E22</f>
        <v>37073</v>
      </c>
      <c r="B138" s="35" t="s">
        <v>9</v>
      </c>
      <c r="C138" s="35"/>
      <c r="D138" s="35"/>
      <c r="F138" s="56">
        <f>C22</f>
        <v>10000000</v>
      </c>
      <c r="G138" s="56">
        <f>F138</f>
        <v>10000000</v>
      </c>
      <c r="I138" s="35"/>
      <c r="J138" s="54"/>
    </row>
    <row r="139" spans="2:10" ht="12.75">
      <c r="B139" s="35" t="s">
        <v>113</v>
      </c>
      <c r="D139" s="35"/>
      <c r="F139" s="57">
        <f>-F138</f>
        <v>-10000000</v>
      </c>
      <c r="G139" s="57">
        <f>F139</f>
        <v>-10000000</v>
      </c>
      <c r="I139" s="35"/>
      <c r="J139" s="54"/>
    </row>
    <row r="140" spans="2:10" ht="12.75">
      <c r="B140" s="72" t="s">
        <v>117</v>
      </c>
      <c r="F140" s="57"/>
      <c r="G140" s="57"/>
      <c r="I140" s="35"/>
      <c r="J140" s="54"/>
    </row>
    <row r="141" spans="2:10" ht="12.75">
      <c r="B141" s="72"/>
      <c r="F141" s="57"/>
      <c r="G141" s="57"/>
      <c r="I141" s="35"/>
      <c r="J141" s="54"/>
    </row>
    <row r="142" spans="1:10" ht="12.75">
      <c r="A142" s="55">
        <f>A138</f>
        <v>37073</v>
      </c>
      <c r="B142" s="35" t="s">
        <v>9</v>
      </c>
      <c r="F142" s="56">
        <f>C22</f>
        <v>10000000</v>
      </c>
      <c r="G142" s="57">
        <f>F142+G138</f>
        <v>20000000</v>
      </c>
      <c r="I142" s="35"/>
      <c r="J142" s="54"/>
    </row>
    <row r="143" spans="2:10" ht="12.75">
      <c r="B143" s="35" t="s">
        <v>9</v>
      </c>
      <c r="F143" s="57">
        <f>-D22/B22</f>
        <v>-10000000</v>
      </c>
      <c r="G143" s="57">
        <f>F143+G142</f>
        <v>10000000</v>
      </c>
      <c r="I143" s="35"/>
      <c r="J143" s="54"/>
    </row>
    <row r="144" spans="2:10" ht="12.75">
      <c r="B144" s="72" t="s">
        <v>118</v>
      </c>
      <c r="F144" s="57" t="s">
        <v>21</v>
      </c>
      <c r="G144" s="57"/>
      <c r="I144" s="35"/>
      <c r="J144" s="54"/>
    </row>
    <row r="145" spans="2:10" ht="12.75">
      <c r="B145" s="72"/>
      <c r="F145" s="57"/>
      <c r="G145" s="57"/>
      <c r="I145" s="35"/>
      <c r="J145" s="54"/>
    </row>
    <row r="146" spans="2:10" ht="12.75">
      <c r="B146" s="35" t="s">
        <v>114</v>
      </c>
      <c r="C146" s="111"/>
      <c r="D146" s="111"/>
      <c r="F146" s="57">
        <f>L22</f>
        <v>0</v>
      </c>
      <c r="G146" s="57">
        <f>F146</f>
        <v>0</v>
      </c>
      <c r="I146" s="35"/>
      <c r="J146" s="54"/>
    </row>
    <row r="147" spans="1:10" ht="12.75">
      <c r="A147" s="55">
        <f>A138</f>
        <v>37073</v>
      </c>
      <c r="B147" s="35" t="s">
        <v>44</v>
      </c>
      <c r="C147" s="111"/>
      <c r="D147" s="111"/>
      <c r="E147" s="35"/>
      <c r="F147" s="57">
        <f>-F146</f>
        <v>0</v>
      </c>
      <c r="G147" s="57">
        <f>F147</f>
        <v>0</v>
      </c>
      <c r="I147" s="35"/>
      <c r="J147" s="54"/>
    </row>
    <row r="148" spans="2:10" ht="12.75">
      <c r="B148" s="35" t="s">
        <v>147</v>
      </c>
      <c r="C148" s="111"/>
      <c r="D148" s="111"/>
      <c r="E148" s="35"/>
      <c r="F148" s="59">
        <f>Y17</f>
        <v>0</v>
      </c>
      <c r="G148" s="59">
        <f>F148</f>
        <v>0</v>
      </c>
      <c r="I148" s="35"/>
      <c r="J148" s="54"/>
    </row>
    <row r="149" spans="2:10" ht="12.75">
      <c r="B149" s="112" t="s">
        <v>146</v>
      </c>
      <c r="C149" s="111"/>
      <c r="D149" s="111"/>
      <c r="H149" s="60"/>
      <c r="I149" s="60"/>
      <c r="J149" s="61"/>
    </row>
    <row r="150" spans="2:10" ht="12.75">
      <c r="B150" s="72"/>
      <c r="H150" s="60"/>
      <c r="I150" s="60"/>
      <c r="J150" s="61"/>
    </row>
    <row r="151" spans="1:10" ht="13.5" thickBot="1">
      <c r="A151" s="107"/>
      <c r="B151" s="108"/>
      <c r="C151" s="107"/>
      <c r="D151" s="107"/>
      <c r="E151" s="107"/>
      <c r="F151" s="107"/>
      <c r="G151" s="107"/>
      <c r="H151" s="62"/>
      <c r="I151" s="63"/>
      <c r="J151" s="64"/>
    </row>
    <row r="152" spans="6:7" ht="13.5" thickTop="1">
      <c r="F152" s="65" t="s">
        <v>22</v>
      </c>
      <c r="G152" s="109"/>
    </row>
    <row r="153" spans="1:7" ht="13.5" thickBot="1">
      <c r="A153" s="66"/>
      <c r="B153" s="66"/>
      <c r="C153" s="66"/>
      <c r="D153" s="66"/>
      <c r="E153" s="110"/>
      <c r="F153" s="67" t="s">
        <v>32</v>
      </c>
      <c r="G153" s="68" t="s">
        <v>23</v>
      </c>
    </row>
    <row r="154" spans="1:8" ht="13.5" thickTop="1">
      <c r="A154" s="69">
        <f>E23</f>
        <v>37164</v>
      </c>
      <c r="B154" s="70" t="s">
        <v>28</v>
      </c>
      <c r="C154" s="111"/>
      <c r="D154" s="111"/>
      <c r="E154" s="111"/>
      <c r="F154" s="57">
        <f>N23</f>
        <v>296662.54635352286</v>
      </c>
      <c r="G154" s="57">
        <f>F154</f>
        <v>296662.54635352286</v>
      </c>
      <c r="H154" s="69">
        <f>A154</f>
        <v>37164</v>
      </c>
    </row>
    <row r="155" spans="1:7" ht="12.75">
      <c r="A155" s="111"/>
      <c r="B155" s="35" t="s">
        <v>9</v>
      </c>
      <c r="C155" s="111"/>
      <c r="D155" s="111"/>
      <c r="E155" s="111"/>
      <c r="F155" s="57">
        <f>-F154</f>
        <v>-296662.54635352286</v>
      </c>
      <c r="G155" s="57">
        <f>G138+F155</f>
        <v>9703337.453646477</v>
      </c>
    </row>
    <row r="156" spans="1:7" ht="12.75">
      <c r="A156" s="111"/>
      <c r="B156" s="112" t="s">
        <v>115</v>
      </c>
      <c r="C156" s="111"/>
      <c r="D156" s="111"/>
      <c r="E156" s="111"/>
      <c r="F156" s="57"/>
      <c r="G156" s="57"/>
    </row>
    <row r="157" spans="1:7" ht="12.75">
      <c r="A157" s="111"/>
      <c r="B157" s="112"/>
      <c r="C157" s="111"/>
      <c r="D157" s="111"/>
      <c r="E157" s="111"/>
      <c r="F157" s="57"/>
      <c r="G157" s="57"/>
    </row>
    <row r="158" spans="1:8" ht="12.75">
      <c r="A158" s="69">
        <f>A154</f>
        <v>37164</v>
      </c>
      <c r="B158" s="70" t="s">
        <v>28</v>
      </c>
      <c r="C158" s="111"/>
      <c r="D158" s="111"/>
      <c r="E158" s="111"/>
      <c r="F158" s="57">
        <f>-K23</f>
        <v>4586.835599505575</v>
      </c>
      <c r="G158" s="57">
        <f>F158+G154</f>
        <v>301249.38195302844</v>
      </c>
      <c r="H158" s="69">
        <f>H154</f>
        <v>37164</v>
      </c>
    </row>
    <row r="159" spans="1:7" ht="12.75">
      <c r="A159" s="111"/>
      <c r="B159" s="35" t="s">
        <v>9</v>
      </c>
      <c r="C159" s="111"/>
      <c r="D159" s="111"/>
      <c r="E159" s="111"/>
      <c r="F159" s="57">
        <f>K23</f>
        <v>-4586.835599505575</v>
      </c>
      <c r="G159" s="57">
        <f>F159+G155</f>
        <v>9698750.618046971</v>
      </c>
    </row>
    <row r="160" spans="1:7" ht="12.75">
      <c r="A160" s="111"/>
      <c r="B160" s="112" t="s">
        <v>116</v>
      </c>
      <c r="C160" s="111"/>
      <c r="D160" s="111"/>
      <c r="E160" s="111"/>
      <c r="F160" s="57"/>
      <c r="G160" s="57"/>
    </row>
    <row r="161" spans="1:7" ht="12.75">
      <c r="A161" s="111"/>
      <c r="B161" s="112"/>
      <c r="C161" s="111"/>
      <c r="D161" s="71" t="s">
        <v>21</v>
      </c>
      <c r="E161" s="111"/>
      <c r="F161" s="57"/>
      <c r="G161" s="57"/>
    </row>
    <row r="162" spans="1:8" ht="12.75">
      <c r="A162" s="69">
        <f>A154</f>
        <v>37164</v>
      </c>
      <c r="B162" s="35" t="s">
        <v>114</v>
      </c>
      <c r="C162" s="111"/>
      <c r="D162" s="111"/>
      <c r="E162" s="111"/>
      <c r="F162" s="57">
        <f>G162-G146</f>
        <v>-3890.9935734162277</v>
      </c>
      <c r="G162" s="57">
        <f>L23</f>
        <v>-3890.9935734162277</v>
      </c>
      <c r="H162" s="69">
        <f>H154</f>
        <v>37164</v>
      </c>
    </row>
    <row r="163" spans="1:8" ht="12.75">
      <c r="A163"/>
      <c r="B163" s="35" t="s">
        <v>74</v>
      </c>
      <c r="C163" s="111"/>
      <c r="D163" s="111"/>
      <c r="E163" s="111"/>
      <c r="F163" s="57">
        <f>M23</f>
        <v>0</v>
      </c>
      <c r="G163" s="57">
        <f>M23</f>
        <v>0</v>
      </c>
      <c r="H163"/>
    </row>
    <row r="164" spans="2:7" ht="12.75">
      <c r="B164" s="35" t="s">
        <v>44</v>
      </c>
      <c r="C164" s="111"/>
      <c r="D164" s="111"/>
      <c r="E164" s="111"/>
      <c r="F164" s="57">
        <f>-(F162+F163+F165)</f>
        <v>3890.9935734162277</v>
      </c>
      <c r="G164" s="57">
        <f>-(G162+G163+G165)</f>
        <v>3890.9935734162277</v>
      </c>
    </row>
    <row r="165" spans="2:7" ht="12.75">
      <c r="B165" s="35" t="s">
        <v>147</v>
      </c>
      <c r="C165" s="111"/>
      <c r="D165" s="111"/>
      <c r="E165" s="111"/>
      <c r="F165" s="57">
        <f>H89</f>
        <v>0</v>
      </c>
      <c r="G165" s="57">
        <f>F165</f>
        <v>0</v>
      </c>
    </row>
    <row r="166" spans="2:7" ht="12.75">
      <c r="B166" s="112" t="s">
        <v>146</v>
      </c>
      <c r="C166" s="111"/>
      <c r="D166" s="111"/>
      <c r="E166" s="111"/>
      <c r="F166" s="57"/>
      <c r="G166" s="57"/>
    </row>
    <row r="167" spans="2:7" ht="12.75">
      <c r="B167" s="72"/>
      <c r="C167" s="35"/>
      <c r="D167" s="35"/>
      <c r="E167" s="35"/>
      <c r="F167" s="57"/>
      <c r="G167" s="57"/>
    </row>
    <row r="168" spans="1:8" ht="12.75">
      <c r="A168" s="69">
        <f>A154</f>
        <v>37164</v>
      </c>
      <c r="B168" s="35" t="s">
        <v>27</v>
      </c>
      <c r="C168" s="35"/>
      <c r="D168" s="35"/>
      <c r="E168" s="35"/>
      <c r="F168" s="57">
        <f>-(F169+F170)</f>
        <v>301249.38195302844</v>
      </c>
      <c r="G168" s="57">
        <f>F168</f>
        <v>301249.38195302844</v>
      </c>
      <c r="H168" s="69">
        <f>H154</f>
        <v>37164</v>
      </c>
    </row>
    <row r="169" spans="2:7" ht="12.75">
      <c r="B169" s="35" t="s">
        <v>28</v>
      </c>
      <c r="C169" s="35"/>
      <c r="D169" s="35"/>
      <c r="E169" s="35"/>
      <c r="F169" s="57">
        <f>-G158</f>
        <v>-301249.38195302844</v>
      </c>
      <c r="G169" s="57">
        <f>G158+F169</f>
        <v>0</v>
      </c>
    </row>
    <row r="170" spans="2:7" ht="12.75">
      <c r="B170" s="35" t="s">
        <v>147</v>
      </c>
      <c r="C170" s="35"/>
      <c r="D170" s="35"/>
      <c r="E170" s="35"/>
      <c r="F170" s="57">
        <f>-G165</f>
        <v>0</v>
      </c>
      <c r="G170" s="57">
        <f>G165+F170</f>
        <v>0</v>
      </c>
    </row>
    <row r="171" spans="2:7" ht="12.75">
      <c r="B171" s="72" t="s">
        <v>46</v>
      </c>
      <c r="C171" s="35"/>
      <c r="D171" s="35"/>
      <c r="E171" s="35"/>
      <c r="F171" s="59"/>
      <c r="G171" s="59"/>
    </row>
    <row r="172" spans="6:8" ht="12.75">
      <c r="F172" s="104"/>
      <c r="G172" s="104"/>
      <c r="H172" s="113"/>
    </row>
    <row r="173" spans="1:8" ht="13.5" thickBot="1">
      <c r="A173" s="107"/>
      <c r="B173" s="108"/>
      <c r="C173" s="107"/>
      <c r="D173" s="107"/>
      <c r="E173" s="107"/>
      <c r="F173" s="107"/>
      <c r="G173" s="107"/>
      <c r="H173" s="62"/>
    </row>
    <row r="174" spans="6:7" ht="13.5" thickTop="1">
      <c r="F174" s="65" t="s">
        <v>22</v>
      </c>
      <c r="G174" s="114"/>
    </row>
    <row r="175" spans="1:7" ht="13.5" thickBot="1">
      <c r="A175" s="66"/>
      <c r="B175" s="66"/>
      <c r="C175" s="66"/>
      <c r="D175" s="66"/>
      <c r="E175" s="110"/>
      <c r="F175" s="67" t="s">
        <v>32</v>
      </c>
      <c r="G175" s="68" t="s">
        <v>23</v>
      </c>
    </row>
    <row r="176" spans="1:8" ht="13.5" thickTop="1">
      <c r="A176" s="73">
        <f>E24</f>
        <v>37256</v>
      </c>
      <c r="B176" s="70" t="s">
        <v>28</v>
      </c>
      <c r="C176" s="111"/>
      <c r="D176" s="111"/>
      <c r="E176" s="111"/>
      <c r="F176" s="57">
        <f>N24</f>
        <v>297766.7493796526</v>
      </c>
      <c r="G176" s="57">
        <f>F176</f>
        <v>297766.7493796526</v>
      </c>
      <c r="H176" s="73">
        <f>A176</f>
        <v>37256</v>
      </c>
    </row>
    <row r="177" spans="1:7" ht="12.75">
      <c r="A177" s="111"/>
      <c r="B177" s="35" t="s">
        <v>9</v>
      </c>
      <c r="C177" s="111"/>
      <c r="D177" s="111"/>
      <c r="E177" s="111"/>
      <c r="F177" s="57">
        <f>-F176</f>
        <v>-297766.7493796526</v>
      </c>
      <c r="G177" s="57">
        <f>G159+F177</f>
        <v>9400983.868667318</v>
      </c>
    </row>
    <row r="178" spans="1:7" ht="12.75">
      <c r="A178" s="111"/>
      <c r="B178" s="112" t="s">
        <v>115</v>
      </c>
      <c r="C178" s="111"/>
      <c r="D178" s="111"/>
      <c r="E178" s="111"/>
      <c r="F178" s="57"/>
      <c r="G178" s="57"/>
    </row>
    <row r="179" spans="1:7" ht="12.75">
      <c r="A179" s="111"/>
      <c r="B179" s="112"/>
      <c r="C179" s="111"/>
      <c r="D179" s="111"/>
      <c r="E179" s="111"/>
      <c r="F179" s="57"/>
      <c r="G179" s="57"/>
    </row>
    <row r="180" spans="1:8" ht="12.75">
      <c r="A180" s="73">
        <f>A176</f>
        <v>37256</v>
      </c>
      <c r="B180" s="70" t="s">
        <v>28</v>
      </c>
      <c r="C180" s="111"/>
      <c r="D180" s="111"/>
      <c r="E180" s="111"/>
      <c r="F180" s="57">
        <f>-K24</f>
        <v>3648.2630272953247</v>
      </c>
      <c r="G180" s="57">
        <f>F180+G176</f>
        <v>301415.0124069479</v>
      </c>
      <c r="H180" s="73">
        <f>H176</f>
        <v>37256</v>
      </c>
    </row>
    <row r="181" spans="1:7" ht="12.75">
      <c r="A181" s="111"/>
      <c r="B181" s="35" t="s">
        <v>9</v>
      </c>
      <c r="C181" s="111"/>
      <c r="D181" s="111"/>
      <c r="E181" s="111"/>
      <c r="F181" s="57">
        <f>-F180</f>
        <v>-3648.2630272953247</v>
      </c>
      <c r="G181" s="57">
        <f>F181+G177</f>
        <v>9397335.605640022</v>
      </c>
    </row>
    <row r="182" spans="1:7" ht="12.75">
      <c r="A182" s="111"/>
      <c r="B182" s="112" t="s">
        <v>116</v>
      </c>
      <c r="C182" s="111"/>
      <c r="D182" s="111"/>
      <c r="E182" s="111"/>
      <c r="F182" s="57"/>
      <c r="G182" s="57"/>
    </row>
    <row r="183" spans="1:7" ht="12.75">
      <c r="A183" s="111"/>
      <c r="B183" s="112"/>
      <c r="C183" s="111"/>
      <c r="D183" s="71" t="s">
        <v>21</v>
      </c>
      <c r="E183" s="111"/>
      <c r="F183" s="57"/>
      <c r="G183" s="57"/>
    </row>
    <row r="184" spans="1:8" ht="12.75">
      <c r="A184" s="73">
        <f>A176</f>
        <v>37256</v>
      </c>
      <c r="B184" s="35" t="s">
        <v>114</v>
      </c>
      <c r="C184" s="111"/>
      <c r="D184" s="111"/>
      <c r="E184" s="111"/>
      <c r="F184" s="57">
        <f>G184-G162</f>
        <v>8886.526734624706</v>
      </c>
      <c r="G184" s="57">
        <f>L24</f>
        <v>4995.533161208478</v>
      </c>
      <c r="H184" s="73">
        <f>H176</f>
        <v>37256</v>
      </c>
    </row>
    <row r="185" spans="1:8" ht="12.75">
      <c r="A185" s="204"/>
      <c r="B185" s="35" t="s">
        <v>74</v>
      </c>
      <c r="C185" s="111"/>
      <c r="D185" s="111"/>
      <c r="E185" s="111"/>
      <c r="F185" s="57">
        <f>M24-G163</f>
        <v>-99.90125999746165</v>
      </c>
      <c r="G185" s="57">
        <f>M24</f>
        <v>-99.90125999746165</v>
      </c>
      <c r="H185" s="204"/>
    </row>
    <row r="186" spans="2:7" ht="12.75">
      <c r="B186" s="35" t="s">
        <v>44</v>
      </c>
      <c r="C186" s="111"/>
      <c r="D186" s="111"/>
      <c r="E186" s="111"/>
      <c r="F186" s="57">
        <f>-(F184+F185+F187)</f>
        <v>-8786.625474627244</v>
      </c>
      <c r="G186" s="57">
        <f>-(G184+G185+G187)</f>
        <v>-4895.631901211017</v>
      </c>
    </row>
    <row r="187" spans="2:7" ht="12.75">
      <c r="B187" s="35" t="s">
        <v>147</v>
      </c>
      <c r="C187" s="111"/>
      <c r="D187" s="111"/>
      <c r="E187" s="111"/>
      <c r="F187" s="57">
        <f>H90</f>
        <v>0</v>
      </c>
      <c r="G187" s="57">
        <f>F187</f>
        <v>0</v>
      </c>
    </row>
    <row r="188" spans="2:7" ht="12.75">
      <c r="B188" s="112" t="s">
        <v>146</v>
      </c>
      <c r="C188" s="111"/>
      <c r="D188" s="111"/>
      <c r="E188" s="111"/>
      <c r="F188" s="57" t="s">
        <v>21</v>
      </c>
      <c r="G188" s="57" t="s">
        <v>21</v>
      </c>
    </row>
    <row r="189" spans="2:7" ht="12.75">
      <c r="B189" s="72"/>
      <c r="C189" s="35"/>
      <c r="D189" s="35"/>
      <c r="E189" s="35"/>
      <c r="F189" s="57"/>
      <c r="G189" s="57"/>
    </row>
    <row r="190" spans="1:8" ht="12.75">
      <c r="A190" s="73">
        <f>A176</f>
        <v>37256</v>
      </c>
      <c r="B190" s="35" t="s">
        <v>27</v>
      </c>
      <c r="C190" s="35"/>
      <c r="D190" s="35"/>
      <c r="E190" s="35"/>
      <c r="F190" s="57">
        <f>-(F191+F192)</f>
        <v>301415.0124069479</v>
      </c>
      <c r="G190" s="57">
        <f>F190+G168</f>
        <v>602664.3943599763</v>
      </c>
      <c r="H190" s="73">
        <f>H176</f>
        <v>37256</v>
      </c>
    </row>
    <row r="191" spans="2:7" ht="12.75">
      <c r="B191" s="35" t="s">
        <v>28</v>
      </c>
      <c r="C191" s="35"/>
      <c r="D191" s="35"/>
      <c r="E191" s="35"/>
      <c r="F191" s="57">
        <f>-G180</f>
        <v>-301415.0124069479</v>
      </c>
      <c r="G191" s="57">
        <f>G180+F191</f>
        <v>0</v>
      </c>
    </row>
    <row r="192" spans="2:7" ht="12.75">
      <c r="B192" s="35" t="s">
        <v>147</v>
      </c>
      <c r="C192" s="35"/>
      <c r="D192" s="35"/>
      <c r="E192" s="35"/>
      <c r="F192" s="57">
        <f>-G187</f>
        <v>0</v>
      </c>
      <c r="G192" s="57">
        <f>G187+F192</f>
        <v>0</v>
      </c>
    </row>
    <row r="193" spans="2:7" ht="12.75">
      <c r="B193" s="72" t="s">
        <v>46</v>
      </c>
      <c r="C193" s="35"/>
      <c r="D193" s="35"/>
      <c r="E193" s="35"/>
      <c r="F193" s="59"/>
      <c r="G193" s="59"/>
    </row>
    <row r="194" spans="6:8" ht="12.75">
      <c r="F194" s="104"/>
      <c r="G194" s="104"/>
      <c r="H194" s="113"/>
    </row>
    <row r="195" spans="1:8" ht="13.5" thickBot="1">
      <c r="A195" s="107"/>
      <c r="B195" s="108"/>
      <c r="C195" s="107"/>
      <c r="D195" s="107"/>
      <c r="E195" s="107"/>
      <c r="F195" s="107"/>
      <c r="G195" s="107"/>
      <c r="H195" s="62"/>
    </row>
    <row r="196" spans="6:7" ht="13.5" thickTop="1">
      <c r="F196" s="65" t="s">
        <v>22</v>
      </c>
      <c r="G196" s="115"/>
    </row>
    <row r="197" spans="1:7" ht="13.5" thickBot="1">
      <c r="A197" s="66"/>
      <c r="B197" s="66"/>
      <c r="C197" s="66"/>
      <c r="D197" s="66"/>
      <c r="E197" s="110"/>
      <c r="F197" s="67" t="s">
        <v>32</v>
      </c>
      <c r="G197" s="68" t="s">
        <v>23</v>
      </c>
    </row>
    <row r="198" spans="1:8" ht="13.5" thickTop="1">
      <c r="A198" s="74">
        <f>E25</f>
        <v>37346</v>
      </c>
      <c r="B198" s="70" t="s">
        <v>28</v>
      </c>
      <c r="C198" s="111"/>
      <c r="D198" s="111"/>
      <c r="E198" s="111"/>
      <c r="F198" s="57">
        <f>N25</f>
        <v>301886.7924528302</v>
      </c>
      <c r="G198" s="57">
        <f>F198</f>
        <v>301886.7924528302</v>
      </c>
      <c r="H198" s="74">
        <f>A198</f>
        <v>37346</v>
      </c>
    </row>
    <row r="199" spans="1:7" ht="12.75">
      <c r="A199" s="111"/>
      <c r="B199" s="35" t="s">
        <v>9</v>
      </c>
      <c r="C199" s="111"/>
      <c r="D199" s="111"/>
      <c r="E199" s="111"/>
      <c r="F199" s="57">
        <f>-F198</f>
        <v>-301886.7924528302</v>
      </c>
      <c r="G199" s="57">
        <f>G181+F199</f>
        <v>9095448.813187191</v>
      </c>
    </row>
    <row r="200" spans="1:7" ht="12.75">
      <c r="A200" s="111"/>
      <c r="B200" s="112" t="s">
        <v>115</v>
      </c>
      <c r="C200" s="111"/>
      <c r="D200" s="111"/>
      <c r="E200" s="111"/>
      <c r="F200" s="57"/>
      <c r="G200" s="57"/>
    </row>
    <row r="201" spans="1:7" ht="12.75">
      <c r="A201" s="111"/>
      <c r="B201" s="112"/>
      <c r="C201" s="111"/>
      <c r="D201" s="111"/>
      <c r="E201" s="111"/>
      <c r="F201" s="57"/>
      <c r="G201" s="57"/>
    </row>
    <row r="202" spans="1:8" ht="12.75">
      <c r="A202" s="74">
        <f>A198</f>
        <v>37346</v>
      </c>
      <c r="B202" s="70" t="s">
        <v>28</v>
      </c>
      <c r="C202" s="111"/>
      <c r="D202" s="111"/>
      <c r="E202" s="111"/>
      <c r="F202" s="57">
        <f>-K25</f>
        <v>146.22641509436653</v>
      </c>
      <c r="G202" s="57">
        <f>F202+G198</f>
        <v>302033.0188679246</v>
      </c>
      <c r="H202" s="74">
        <f>H198</f>
        <v>37346</v>
      </c>
    </row>
    <row r="203" spans="1:7" ht="12.75">
      <c r="A203" s="111"/>
      <c r="B203" s="35" t="s">
        <v>9</v>
      </c>
      <c r="C203" s="111"/>
      <c r="D203" s="111"/>
      <c r="E203" s="111"/>
      <c r="F203" s="57">
        <f>-F202</f>
        <v>-146.22641509436653</v>
      </c>
      <c r="G203" s="57">
        <f>F203+G199</f>
        <v>9095302.586772097</v>
      </c>
    </row>
    <row r="204" spans="1:7" ht="12.75">
      <c r="A204" s="111"/>
      <c r="B204" s="112" t="s">
        <v>116</v>
      </c>
      <c r="C204" s="111"/>
      <c r="D204" s="111"/>
      <c r="E204" s="111"/>
      <c r="F204" s="57"/>
      <c r="G204" s="57"/>
    </row>
    <row r="205" spans="1:7" ht="12.75">
      <c r="A205" s="111"/>
      <c r="B205" s="112"/>
      <c r="C205" s="111"/>
      <c r="D205" s="71" t="s">
        <v>21</v>
      </c>
      <c r="E205" s="111"/>
      <c r="F205" s="57"/>
      <c r="G205" s="57"/>
    </row>
    <row r="206" spans="1:8" ht="12.75">
      <c r="A206" s="74">
        <f>A198</f>
        <v>37346</v>
      </c>
      <c r="B206" s="35" t="s">
        <v>114</v>
      </c>
      <c r="C206" s="111"/>
      <c r="D206" s="111"/>
      <c r="E206" s="111"/>
      <c r="F206" s="57">
        <f>G206-G184</f>
        <v>976.1348258618291</v>
      </c>
      <c r="G206" s="57">
        <f>L25</f>
        <v>5971.667987070307</v>
      </c>
      <c r="H206" s="74">
        <f>H198</f>
        <v>37346</v>
      </c>
    </row>
    <row r="207" spans="1:8" ht="12.75">
      <c r="A207" s="204"/>
      <c r="B207" s="35" t="s">
        <v>74</v>
      </c>
      <c r="C207" s="111"/>
      <c r="D207" s="111"/>
      <c r="E207" s="111"/>
      <c r="F207" s="57">
        <f>G207-G185</f>
        <v>228.1615739114893</v>
      </c>
      <c r="G207" s="57">
        <f>M25</f>
        <v>128.26031391402768</v>
      </c>
      <c r="H207" s="204"/>
    </row>
    <row r="208" spans="2:7" ht="12.75">
      <c r="B208" s="35" t="s">
        <v>44</v>
      </c>
      <c r="C208" s="111"/>
      <c r="D208" s="111"/>
      <c r="E208" s="111"/>
      <c r="F208" s="57">
        <f>-(F206+F207+F209)</f>
        <v>-1204.2963997733184</v>
      </c>
      <c r="G208" s="57">
        <f>-(G206+G207+G209)</f>
        <v>-6099.928300984335</v>
      </c>
    </row>
    <row r="209" spans="2:7" ht="12.75">
      <c r="B209" s="35" t="s">
        <v>147</v>
      </c>
      <c r="C209" s="111"/>
      <c r="D209" s="111"/>
      <c r="E209" s="111"/>
      <c r="F209" s="57">
        <f>H91</f>
        <v>0</v>
      </c>
      <c r="G209" s="57">
        <f>F209</f>
        <v>0</v>
      </c>
    </row>
    <row r="210" spans="2:7" ht="12.75">
      <c r="B210" s="112" t="s">
        <v>146</v>
      </c>
      <c r="C210" s="111"/>
      <c r="D210" s="111"/>
      <c r="E210" s="111"/>
      <c r="F210" s="57"/>
      <c r="G210" s="57" t="s">
        <v>21</v>
      </c>
    </row>
    <row r="211" spans="2:7" ht="12.75">
      <c r="B211" s="72"/>
      <c r="C211" s="35"/>
      <c r="D211" s="35"/>
      <c r="E211" s="35"/>
      <c r="F211" s="57"/>
      <c r="G211" s="57"/>
    </row>
    <row r="212" spans="1:8" ht="12.75">
      <c r="A212" s="74">
        <f>A198</f>
        <v>37346</v>
      </c>
      <c r="B212" s="35" t="s">
        <v>27</v>
      </c>
      <c r="C212" s="35"/>
      <c r="D212" s="35"/>
      <c r="E212" s="35"/>
      <c r="F212" s="57">
        <f>-(F213+F214)</f>
        <v>302033.0188679246</v>
      </c>
      <c r="G212" s="57">
        <f>F212+G190</f>
        <v>904697.4132279009</v>
      </c>
      <c r="H212" s="74">
        <f>H198</f>
        <v>37346</v>
      </c>
    </row>
    <row r="213" spans="2:7" ht="12.75">
      <c r="B213" s="35" t="s">
        <v>28</v>
      </c>
      <c r="C213" s="35"/>
      <c r="D213" s="35"/>
      <c r="E213" s="35"/>
      <c r="F213" s="57">
        <f>-G202</f>
        <v>-302033.0188679246</v>
      </c>
      <c r="G213" s="57">
        <f>G202+F213</f>
        <v>0</v>
      </c>
    </row>
    <row r="214" spans="2:7" ht="12.75">
      <c r="B214" s="35" t="s">
        <v>147</v>
      </c>
      <c r="C214" s="35"/>
      <c r="D214" s="35"/>
      <c r="E214" s="35"/>
      <c r="F214" s="57">
        <f>-G209</f>
        <v>0</v>
      </c>
      <c r="G214" s="57">
        <f>G209+F214</f>
        <v>0</v>
      </c>
    </row>
    <row r="215" spans="2:7" ht="12.75">
      <c r="B215" s="72" t="s">
        <v>29</v>
      </c>
      <c r="C215" s="35"/>
      <c r="D215" s="35"/>
      <c r="E215" s="35"/>
      <c r="F215" s="59"/>
      <c r="G215" s="59"/>
    </row>
    <row r="216" spans="6:8" ht="12.75">
      <c r="F216" s="104"/>
      <c r="G216" s="104"/>
      <c r="H216" s="113"/>
    </row>
    <row r="217" spans="1:8" ht="13.5" thickBot="1">
      <c r="A217" s="107"/>
      <c r="B217" s="108"/>
      <c r="C217" s="107"/>
      <c r="D217" s="107"/>
      <c r="E217" s="107"/>
      <c r="F217" s="107"/>
      <c r="G217" s="107"/>
      <c r="H217" s="62"/>
    </row>
    <row r="218" spans="6:7" ht="13.5" thickTop="1">
      <c r="F218" s="65" t="s">
        <v>22</v>
      </c>
      <c r="G218" s="116"/>
    </row>
    <row r="219" spans="1:7" ht="13.5" thickBot="1">
      <c r="A219" s="66"/>
      <c r="B219" s="66"/>
      <c r="C219" s="66"/>
      <c r="D219" s="66"/>
      <c r="E219" s="110"/>
      <c r="F219" s="67" t="s">
        <v>32</v>
      </c>
      <c r="G219" s="68" t="s">
        <v>23</v>
      </c>
    </row>
    <row r="220" spans="1:8" ht="13.5" thickTop="1">
      <c r="A220" s="75">
        <f>E26</f>
        <v>37437</v>
      </c>
      <c r="B220" s="70" t="s">
        <v>28</v>
      </c>
      <c r="C220" s="111"/>
      <c r="D220" s="111"/>
      <c r="E220" s="111"/>
      <c r="F220" s="57">
        <f>N26</f>
        <v>303797.46835443034</v>
      </c>
      <c r="G220" s="57">
        <f>F220</f>
        <v>303797.46835443034</v>
      </c>
      <c r="H220" s="75">
        <f>A220</f>
        <v>37437</v>
      </c>
    </row>
    <row r="221" spans="1:7" ht="12.75">
      <c r="A221" s="111"/>
      <c r="B221" s="35" t="s">
        <v>9</v>
      </c>
      <c r="C221" s="111"/>
      <c r="D221" s="111"/>
      <c r="E221" s="111"/>
      <c r="F221" s="57">
        <f>-F220</f>
        <v>-303797.46835443034</v>
      </c>
      <c r="G221" s="57">
        <f>G203+F221</f>
        <v>8791505.118417667</v>
      </c>
    </row>
    <row r="222" spans="1:7" ht="12.75">
      <c r="A222" s="111"/>
      <c r="B222" s="112" t="s">
        <v>115</v>
      </c>
      <c r="C222" s="111"/>
      <c r="D222" s="111"/>
      <c r="E222" s="111"/>
      <c r="F222" s="57"/>
      <c r="G222" s="57"/>
    </row>
    <row r="223" spans="1:7" ht="12.75">
      <c r="A223" s="111"/>
      <c r="B223" s="112"/>
      <c r="C223" s="111"/>
      <c r="D223" s="111"/>
      <c r="E223" s="111"/>
      <c r="F223" s="57"/>
      <c r="G223" s="57"/>
    </row>
    <row r="224" spans="1:8" ht="12.75">
      <c r="A224" s="75">
        <f>A220</f>
        <v>37437</v>
      </c>
      <c r="B224" s="70" t="s">
        <v>28</v>
      </c>
      <c r="C224" s="111"/>
      <c r="D224" s="111"/>
      <c r="E224" s="111"/>
      <c r="F224" s="57">
        <f>-K26</f>
        <v>-1477.8481012657867</v>
      </c>
      <c r="G224" s="57">
        <f>F224+G220</f>
        <v>302319.62025316455</v>
      </c>
      <c r="H224" s="75">
        <f>H220</f>
        <v>37437</v>
      </c>
    </row>
    <row r="225" spans="1:7" ht="12.75">
      <c r="A225" s="111"/>
      <c r="B225" s="35" t="s">
        <v>9</v>
      </c>
      <c r="C225" s="111"/>
      <c r="D225" s="111"/>
      <c r="E225" s="111"/>
      <c r="F225" s="57">
        <f>-F224</f>
        <v>1477.8481012657867</v>
      </c>
      <c r="G225" s="57">
        <f>F225+G221</f>
        <v>8792982.966518933</v>
      </c>
    </row>
    <row r="226" spans="1:7" ht="12.75">
      <c r="A226" s="111"/>
      <c r="B226" s="112" t="s">
        <v>116</v>
      </c>
      <c r="C226" s="111"/>
      <c r="D226" s="111"/>
      <c r="E226" s="111"/>
      <c r="F226" s="57"/>
      <c r="G226" s="57"/>
    </row>
    <row r="227" spans="1:7" ht="12.75">
      <c r="A227" s="111"/>
      <c r="B227" s="112"/>
      <c r="C227" s="111"/>
      <c r="D227" s="71" t="s">
        <v>21</v>
      </c>
      <c r="E227" s="111"/>
      <c r="F227" s="57"/>
      <c r="G227" s="57"/>
    </row>
    <row r="228" spans="1:8" ht="12.75">
      <c r="A228" s="75">
        <f>A220</f>
        <v>37437</v>
      </c>
      <c r="B228" s="35" t="s">
        <v>114</v>
      </c>
      <c r="C228" s="111"/>
      <c r="D228" s="111"/>
      <c r="E228" s="111"/>
      <c r="F228" s="57">
        <f>G228-G206</f>
        <v>3798.6173563034436</v>
      </c>
      <c r="G228" s="57">
        <f>L26</f>
        <v>9770.285343373751</v>
      </c>
      <c r="H228" s="75">
        <f>H220</f>
        <v>37437</v>
      </c>
    </row>
    <row r="229" spans="1:8" ht="12.75">
      <c r="A229" s="204"/>
      <c r="B229" s="35" t="s">
        <v>74</v>
      </c>
      <c r="C229" s="111"/>
      <c r="D229" s="111"/>
      <c r="E229" s="111"/>
      <c r="F229" s="57">
        <f>G229-G207</f>
        <v>25.06226165400247</v>
      </c>
      <c r="G229" s="57">
        <f>M26</f>
        <v>153.32257556803015</v>
      </c>
      <c r="H229" s="204"/>
    </row>
    <row r="230" spans="2:7" ht="12.75">
      <c r="B230" s="35" t="s">
        <v>44</v>
      </c>
      <c r="C230" s="111"/>
      <c r="D230" s="111"/>
      <c r="E230" s="111"/>
      <c r="F230" s="57">
        <f>-(F228+F229+F231)</f>
        <v>-3823.679617957446</v>
      </c>
      <c r="G230" s="57">
        <f>-(G228+G229+G231)</f>
        <v>-9923.607918941781</v>
      </c>
    </row>
    <row r="231" spans="2:7" ht="12.75">
      <c r="B231" s="35" t="s">
        <v>147</v>
      </c>
      <c r="C231" s="111"/>
      <c r="D231" s="111"/>
      <c r="E231" s="111"/>
      <c r="F231" s="57">
        <f>H92</f>
        <v>0</v>
      </c>
      <c r="G231" s="57">
        <f>F231</f>
        <v>0</v>
      </c>
    </row>
    <row r="232" spans="2:7" ht="12.75">
      <c r="B232" s="112" t="s">
        <v>146</v>
      </c>
      <c r="C232" s="111"/>
      <c r="D232" s="111"/>
      <c r="E232" s="111"/>
      <c r="F232" s="57"/>
      <c r="G232" s="57" t="s">
        <v>21</v>
      </c>
    </row>
    <row r="233" spans="2:7" ht="12.75">
      <c r="B233" s="72"/>
      <c r="C233" s="35"/>
      <c r="D233" s="35"/>
      <c r="E233" s="35"/>
      <c r="F233" s="57"/>
      <c r="G233" s="57"/>
    </row>
    <row r="234" spans="1:8" ht="12.75">
      <c r="A234" s="75">
        <f>A220</f>
        <v>37437</v>
      </c>
      <c r="B234" s="35" t="s">
        <v>27</v>
      </c>
      <c r="C234" s="35"/>
      <c r="D234" s="35"/>
      <c r="E234" s="35"/>
      <c r="F234" s="57">
        <f>-(F235+F236)</f>
        <v>302319.62025316455</v>
      </c>
      <c r="G234" s="57">
        <f>F234+G212</f>
        <v>1207017.0334810654</v>
      </c>
      <c r="H234" s="75">
        <f>H220</f>
        <v>37437</v>
      </c>
    </row>
    <row r="235" spans="2:7" ht="12.75">
      <c r="B235" s="35" t="s">
        <v>28</v>
      </c>
      <c r="C235" s="35"/>
      <c r="D235" s="35"/>
      <c r="E235" s="35"/>
      <c r="F235" s="57">
        <f>-G224</f>
        <v>-302319.62025316455</v>
      </c>
      <c r="G235" s="57">
        <f>G224+F235</f>
        <v>0</v>
      </c>
    </row>
    <row r="236" spans="2:7" ht="12.75">
      <c r="B236" s="35" t="s">
        <v>147</v>
      </c>
      <c r="C236" s="35"/>
      <c r="D236" s="35"/>
      <c r="E236" s="35"/>
      <c r="F236" s="57">
        <f>-G231</f>
        <v>0</v>
      </c>
      <c r="G236" s="57">
        <f>G231+F236</f>
        <v>0</v>
      </c>
    </row>
    <row r="237" spans="2:7" ht="12.75">
      <c r="B237" s="72" t="s">
        <v>29</v>
      </c>
      <c r="C237" s="35"/>
      <c r="D237" s="35"/>
      <c r="E237" s="35"/>
      <c r="F237" s="59"/>
      <c r="G237" s="59"/>
    </row>
    <row r="238" spans="2:7" ht="12.75">
      <c r="B238" s="72"/>
      <c r="C238" s="35"/>
      <c r="D238" s="35"/>
      <c r="E238" s="35"/>
      <c r="F238" s="76"/>
      <c r="G238" s="76"/>
    </row>
    <row r="239" spans="1:8" ht="13.5" thickBot="1">
      <c r="A239" s="107"/>
      <c r="B239" s="108"/>
      <c r="C239" s="107"/>
      <c r="D239" s="107"/>
      <c r="E239" s="107"/>
      <c r="F239" s="107"/>
      <c r="G239" s="107"/>
      <c r="H239" s="62"/>
    </row>
    <row r="240" spans="6:7" ht="13.5" thickTop="1">
      <c r="F240" s="65" t="s">
        <v>22</v>
      </c>
      <c r="G240" s="117"/>
    </row>
    <row r="241" spans="1:7" ht="13.5" thickBot="1">
      <c r="A241" s="66"/>
      <c r="B241" s="66"/>
      <c r="C241" s="66"/>
      <c r="D241" s="66"/>
      <c r="E241" s="110"/>
      <c r="F241" s="67" t="s">
        <v>32</v>
      </c>
      <c r="G241" s="68" t="s">
        <v>23</v>
      </c>
    </row>
    <row r="242" spans="1:8" ht="13.5" thickTop="1">
      <c r="A242" s="77">
        <f>E27</f>
        <v>37529</v>
      </c>
      <c r="B242" s="70" t="s">
        <v>28</v>
      </c>
      <c r="C242" s="111"/>
      <c r="D242" s="111"/>
      <c r="E242" s="111"/>
      <c r="F242" s="57">
        <f>N27</f>
        <v>304800.60960121924</v>
      </c>
      <c r="G242" s="57">
        <f>F242</f>
        <v>304800.60960121924</v>
      </c>
      <c r="H242" s="77">
        <f>A242</f>
        <v>37529</v>
      </c>
    </row>
    <row r="243" spans="1:7" ht="12.75">
      <c r="A243" s="111"/>
      <c r="B243" s="35" t="s">
        <v>9</v>
      </c>
      <c r="C243" s="111"/>
      <c r="D243" s="111"/>
      <c r="E243" s="111"/>
      <c r="F243" s="57">
        <f>-F242</f>
        <v>-304800.60960121924</v>
      </c>
      <c r="G243" s="57">
        <f>G225+F243</f>
        <v>8488182.356917713</v>
      </c>
    </row>
    <row r="244" spans="1:7" ht="12.75">
      <c r="A244" s="111"/>
      <c r="B244" s="112" t="s">
        <v>115</v>
      </c>
      <c r="C244" s="111"/>
      <c r="D244" s="111"/>
      <c r="E244" s="111"/>
      <c r="F244" s="57"/>
      <c r="G244" s="57"/>
    </row>
    <row r="245" spans="1:7" ht="12.75">
      <c r="A245" s="111"/>
      <c r="B245" s="112"/>
      <c r="C245" s="111"/>
      <c r="D245" s="111"/>
      <c r="E245" s="111"/>
      <c r="F245" s="57"/>
      <c r="G245" s="57"/>
    </row>
    <row r="246" spans="1:8" ht="12.75">
      <c r="A246" s="77">
        <f>A242</f>
        <v>37529</v>
      </c>
      <c r="B246" s="70" t="s">
        <v>28</v>
      </c>
      <c r="C246" s="111"/>
      <c r="D246" s="111"/>
      <c r="E246" s="111"/>
      <c r="F246" s="57">
        <f>-K27</f>
        <v>-2330.518161036307</v>
      </c>
      <c r="G246" s="57">
        <f>F246+G242</f>
        <v>302470.09144018294</v>
      </c>
      <c r="H246" s="77">
        <f>H242</f>
        <v>37529</v>
      </c>
    </row>
    <row r="247" spans="1:7" ht="12.75">
      <c r="A247" s="111"/>
      <c r="B247" s="35" t="s">
        <v>9</v>
      </c>
      <c r="C247" s="111"/>
      <c r="D247" s="111"/>
      <c r="E247" s="111"/>
      <c r="F247" s="57">
        <f>-F246</f>
        <v>2330.518161036307</v>
      </c>
      <c r="G247" s="57">
        <f>F247+G243</f>
        <v>8490512.875078749</v>
      </c>
    </row>
    <row r="248" spans="1:7" ht="12.75">
      <c r="A248" s="111"/>
      <c r="B248" s="112" t="s">
        <v>116</v>
      </c>
      <c r="C248" s="111"/>
      <c r="D248" s="111"/>
      <c r="E248" s="111"/>
      <c r="F248" s="57"/>
      <c r="G248" s="57"/>
    </row>
    <row r="249" spans="1:7" ht="12.75">
      <c r="A249" s="111"/>
      <c r="B249" s="112"/>
      <c r="C249" s="111"/>
      <c r="D249" s="71" t="s">
        <v>21</v>
      </c>
      <c r="E249" s="111"/>
      <c r="F249" s="57"/>
      <c r="G249" s="57"/>
    </row>
    <row r="250" spans="1:8" ht="12.75">
      <c r="A250" s="77">
        <f>A242</f>
        <v>37529</v>
      </c>
      <c r="B250" s="35" t="s">
        <v>114</v>
      </c>
      <c r="C250" s="111"/>
      <c r="D250" s="111"/>
      <c r="E250" s="111"/>
      <c r="F250" s="57">
        <f>G250-G228</f>
        <v>4020.410275173408</v>
      </c>
      <c r="G250" s="57">
        <f>L27</f>
        <v>13790.695618547159</v>
      </c>
      <c r="H250" s="77">
        <f>H242</f>
        <v>37529</v>
      </c>
    </row>
    <row r="251" spans="1:8" ht="12.75">
      <c r="A251" s="204"/>
      <c r="B251" s="35" t="s">
        <v>74</v>
      </c>
      <c r="C251" s="111"/>
      <c r="D251" s="111"/>
      <c r="E251" s="111"/>
      <c r="F251" s="57">
        <f>G251-G229</f>
        <v>97.52950062309091</v>
      </c>
      <c r="G251" s="57">
        <f>M27</f>
        <v>250.85207619112106</v>
      </c>
      <c r="H251" s="204"/>
    </row>
    <row r="252" spans="2:7" ht="12.75">
      <c r="B252" s="35" t="s">
        <v>44</v>
      </c>
      <c r="C252" s="111"/>
      <c r="D252" s="111"/>
      <c r="E252" s="111"/>
      <c r="F252" s="57">
        <f>-(F250+F251+F253)</f>
        <v>-4117.939775796499</v>
      </c>
      <c r="G252" s="57">
        <f>-(G250+G251+G253)</f>
        <v>-14041.54769473828</v>
      </c>
    </row>
    <row r="253" spans="2:7" ht="12.75">
      <c r="B253" s="35" t="s">
        <v>147</v>
      </c>
      <c r="C253" s="111"/>
      <c r="D253" s="111"/>
      <c r="E253" s="111"/>
      <c r="F253" s="57">
        <f>H93</f>
        <v>0</v>
      </c>
      <c r="G253" s="57">
        <f>F253</f>
        <v>0</v>
      </c>
    </row>
    <row r="254" spans="2:7" ht="12.75">
      <c r="B254" s="112" t="s">
        <v>146</v>
      </c>
      <c r="C254" s="111"/>
      <c r="D254" s="111"/>
      <c r="E254" s="111"/>
      <c r="F254" s="57"/>
      <c r="G254" s="57" t="s">
        <v>21</v>
      </c>
    </row>
    <row r="255" spans="2:7" ht="12.75">
      <c r="B255" s="72"/>
      <c r="C255" s="35"/>
      <c r="D255" s="35"/>
      <c r="E255" s="35"/>
      <c r="F255" s="57"/>
      <c r="G255" s="57"/>
    </row>
    <row r="256" spans="1:8" ht="12.75">
      <c r="A256" s="77">
        <f>A242</f>
        <v>37529</v>
      </c>
      <c r="B256" s="35" t="s">
        <v>27</v>
      </c>
      <c r="C256" s="35"/>
      <c r="D256" s="35"/>
      <c r="E256" s="35"/>
      <c r="F256" s="57">
        <f>-(F257+F258)</f>
        <v>302470.09144018294</v>
      </c>
      <c r="G256" s="57">
        <f>F256+G234</f>
        <v>1509487.1249212483</v>
      </c>
      <c r="H256" s="77">
        <f>H242</f>
        <v>37529</v>
      </c>
    </row>
    <row r="257" spans="2:7" ht="12.75">
      <c r="B257" s="35" t="s">
        <v>28</v>
      </c>
      <c r="C257" s="35"/>
      <c r="D257" s="35"/>
      <c r="E257" s="35"/>
      <c r="F257" s="57">
        <f>-G246</f>
        <v>-302470.09144018294</v>
      </c>
      <c r="G257" s="57">
        <f>G246+F257</f>
        <v>0</v>
      </c>
    </row>
    <row r="258" spans="2:7" ht="12.75">
      <c r="B258" s="35" t="s">
        <v>147</v>
      </c>
      <c r="C258" s="35"/>
      <c r="D258" s="35"/>
      <c r="E258" s="35"/>
      <c r="F258" s="57">
        <f>-G253</f>
        <v>0</v>
      </c>
      <c r="G258" s="57">
        <f>G253+F258</f>
        <v>0</v>
      </c>
    </row>
    <row r="259" spans="2:7" ht="12.75">
      <c r="B259" s="72" t="s">
        <v>29</v>
      </c>
      <c r="C259" s="35"/>
      <c r="D259" s="35"/>
      <c r="E259" s="35"/>
      <c r="F259" s="59"/>
      <c r="G259" s="59"/>
    </row>
    <row r="260" spans="2:7" ht="12.75">
      <c r="B260" s="72"/>
      <c r="C260" s="35"/>
      <c r="D260" s="35"/>
      <c r="E260" s="35"/>
      <c r="F260" s="76"/>
      <c r="G260" s="76"/>
    </row>
    <row r="261" spans="1:8" ht="13.5" thickBot="1">
      <c r="A261" s="107"/>
      <c r="B261" s="108"/>
      <c r="C261" s="107"/>
      <c r="D261" s="107"/>
      <c r="E261" s="107"/>
      <c r="F261" s="107"/>
      <c r="G261" s="107"/>
      <c r="H261" s="62"/>
    </row>
    <row r="262" spans="6:7" ht="13.5" thickTop="1">
      <c r="F262" s="65" t="s">
        <v>22</v>
      </c>
      <c r="G262" s="114"/>
    </row>
    <row r="263" spans="1:7" ht="13.5" thickBot="1">
      <c r="A263" s="66"/>
      <c r="B263" s="66"/>
      <c r="C263" s="66"/>
      <c r="D263" s="66"/>
      <c r="E263" s="110"/>
      <c r="F263" s="67" t="s">
        <v>32</v>
      </c>
      <c r="G263" s="68" t="s">
        <v>23</v>
      </c>
    </row>
    <row r="264" spans="1:8" ht="13.5" thickTop="1">
      <c r="A264" s="73">
        <f>E28</f>
        <v>37621</v>
      </c>
      <c r="B264" s="70" t="s">
        <v>28</v>
      </c>
      <c r="C264" s="111"/>
      <c r="D264" s="111"/>
      <c r="E264" s="111"/>
      <c r="F264" s="57">
        <f>N28</f>
        <v>308008.2135523614</v>
      </c>
      <c r="G264" s="57">
        <f>F264</f>
        <v>308008.2135523614</v>
      </c>
      <c r="H264" s="73">
        <f>A264</f>
        <v>37621</v>
      </c>
    </row>
    <row r="265" spans="1:7" ht="12.75">
      <c r="A265" s="111"/>
      <c r="B265" s="35" t="s">
        <v>9</v>
      </c>
      <c r="C265" s="111"/>
      <c r="D265" s="111"/>
      <c r="E265" s="111"/>
      <c r="F265" s="57">
        <f>-F264</f>
        <v>-308008.2135523614</v>
      </c>
      <c r="G265" s="57">
        <f>G247+F265</f>
        <v>8182504.661526388</v>
      </c>
    </row>
    <row r="266" spans="1:7" ht="12.75">
      <c r="A266" s="111"/>
      <c r="B266" s="112" t="s">
        <v>115</v>
      </c>
      <c r="C266" s="111"/>
      <c r="D266" s="111"/>
      <c r="E266" s="111"/>
      <c r="F266" s="57"/>
      <c r="G266" s="57"/>
    </row>
    <row r="267" spans="1:7" ht="12.75">
      <c r="A267" s="111"/>
      <c r="B267" s="112"/>
      <c r="C267" s="111"/>
      <c r="D267" s="111"/>
      <c r="E267" s="111"/>
      <c r="F267" s="57"/>
      <c r="G267" s="57"/>
    </row>
    <row r="268" spans="1:8" ht="12.75">
      <c r="A268" s="73">
        <f>A264</f>
        <v>37621</v>
      </c>
      <c r="B268" s="70" t="s">
        <v>28</v>
      </c>
      <c r="C268" s="111"/>
      <c r="D268" s="111"/>
      <c r="E268" s="111"/>
      <c r="F268" s="57">
        <f>-K28</f>
        <v>-5056.981519507157</v>
      </c>
      <c r="G268" s="57">
        <f>F268+G264</f>
        <v>302951.2320328542</v>
      </c>
      <c r="H268" s="73">
        <f>H264</f>
        <v>37621</v>
      </c>
    </row>
    <row r="269" spans="1:7" ht="12.75">
      <c r="A269" s="111"/>
      <c r="B269" s="35" t="s">
        <v>9</v>
      </c>
      <c r="C269" s="111"/>
      <c r="D269" s="111"/>
      <c r="E269" s="111"/>
      <c r="F269" s="57">
        <f>-F268</f>
        <v>5056.981519507157</v>
      </c>
      <c r="G269" s="57">
        <f>F269+G265</f>
        <v>8187561.643045895</v>
      </c>
    </row>
    <row r="270" spans="1:7" ht="12.75">
      <c r="A270" s="111"/>
      <c r="B270" s="112" t="s">
        <v>116</v>
      </c>
      <c r="C270" s="111"/>
      <c r="D270" s="111"/>
      <c r="E270" s="111"/>
      <c r="F270" s="57"/>
      <c r="G270" s="57"/>
    </row>
    <row r="271" spans="1:7" ht="12.75">
      <c r="A271" s="111"/>
      <c r="B271" s="112"/>
      <c r="C271" s="111"/>
      <c r="D271" s="71" t="s">
        <v>21</v>
      </c>
      <c r="E271" s="111"/>
      <c r="F271" s="57"/>
      <c r="G271" s="57"/>
    </row>
    <row r="272" spans="1:8" ht="12.75">
      <c r="A272" s="73">
        <f>A264</f>
        <v>37621</v>
      </c>
      <c r="B272" s="35" t="s">
        <v>114</v>
      </c>
      <c r="C272" s="111"/>
      <c r="D272" s="111"/>
      <c r="E272" s="111"/>
      <c r="F272" s="57">
        <f>G272-G250</f>
        <v>-2054.102628742059</v>
      </c>
      <c r="G272" s="57">
        <f>L28</f>
        <v>11736.5929898051</v>
      </c>
      <c r="H272" s="73">
        <f>H264</f>
        <v>37621</v>
      </c>
    </row>
    <row r="273" spans="1:8" ht="12.75">
      <c r="A273" s="204"/>
      <c r="B273" s="35" t="s">
        <v>74</v>
      </c>
      <c r="C273" s="111"/>
      <c r="D273" s="111"/>
      <c r="E273" s="111"/>
      <c r="F273" s="57">
        <f>G273-G251</f>
        <v>103.22403381507723</v>
      </c>
      <c r="G273" s="57">
        <f>M28</f>
        <v>354.0761100061983</v>
      </c>
      <c r="H273" s="204"/>
    </row>
    <row r="274" spans="2:7" ht="12.75">
      <c r="B274" s="35" t="s">
        <v>44</v>
      </c>
      <c r="C274" s="111"/>
      <c r="D274" s="111"/>
      <c r="E274" s="111"/>
      <c r="F274" s="57">
        <f>-(F272+F273+F275)</f>
        <v>1950.8785949269818</v>
      </c>
      <c r="G274" s="57">
        <f>-(G272+G273+G275)</f>
        <v>-12090.669099811299</v>
      </c>
    </row>
    <row r="275" spans="2:7" ht="12.75">
      <c r="B275" s="35" t="s">
        <v>147</v>
      </c>
      <c r="C275" s="111"/>
      <c r="D275" s="111"/>
      <c r="E275" s="111"/>
      <c r="F275" s="57">
        <f>H94</f>
        <v>0</v>
      </c>
      <c r="G275" s="57">
        <f>F275</f>
        <v>0</v>
      </c>
    </row>
    <row r="276" spans="2:7" ht="12.75">
      <c r="B276" s="112" t="s">
        <v>146</v>
      </c>
      <c r="C276" s="111"/>
      <c r="D276" s="111"/>
      <c r="E276" s="111"/>
      <c r="F276" s="57"/>
      <c r="G276" s="57" t="s">
        <v>21</v>
      </c>
    </row>
    <row r="277" spans="1:8" ht="12.75">
      <c r="A277" s="73">
        <f>A264</f>
        <v>37621</v>
      </c>
      <c r="B277" s="72"/>
      <c r="C277" s="35"/>
      <c r="D277" s="35"/>
      <c r="E277" s="35"/>
      <c r="F277" s="57"/>
      <c r="G277" s="57"/>
      <c r="H277" s="73">
        <f>H264</f>
        <v>37621</v>
      </c>
    </row>
    <row r="278" spans="2:7" ht="12.75">
      <c r="B278" s="35" t="s">
        <v>27</v>
      </c>
      <c r="C278" s="35"/>
      <c r="D278" s="35"/>
      <c r="E278" s="35"/>
      <c r="F278" s="57">
        <f>-(F279+F280)</f>
        <v>302951.2320328542</v>
      </c>
      <c r="G278" s="57">
        <f>F278+G256</f>
        <v>1812438.3569541024</v>
      </c>
    </row>
    <row r="279" spans="2:7" ht="12.75">
      <c r="B279" s="35" t="s">
        <v>28</v>
      </c>
      <c r="C279" s="35"/>
      <c r="D279" s="35"/>
      <c r="E279" s="35"/>
      <c r="F279" s="57">
        <f>-G268</f>
        <v>-302951.2320328542</v>
      </c>
      <c r="G279" s="57">
        <f>G268+F279</f>
        <v>0</v>
      </c>
    </row>
    <row r="280" spans="2:7" ht="12.75">
      <c r="B280" s="35" t="s">
        <v>147</v>
      </c>
      <c r="C280" s="35"/>
      <c r="D280" s="35"/>
      <c r="E280" s="35"/>
      <c r="F280" s="57">
        <f>-G275</f>
        <v>0</v>
      </c>
      <c r="G280" s="57">
        <f>G275+F280</f>
        <v>0</v>
      </c>
    </row>
    <row r="281" spans="2:7" ht="12.75">
      <c r="B281" s="72" t="s">
        <v>29</v>
      </c>
      <c r="C281" s="35"/>
      <c r="D281" s="35"/>
      <c r="E281" s="35"/>
      <c r="F281" s="59"/>
      <c r="G281" s="59"/>
    </row>
    <row r="282" spans="2:7" ht="12.75">
      <c r="B282" s="72"/>
      <c r="C282" s="35"/>
      <c r="D282" s="35"/>
      <c r="E282" s="35"/>
      <c r="F282" s="76"/>
      <c r="G282" s="76"/>
    </row>
    <row r="283" spans="1:8" ht="13.5" thickBot="1">
      <c r="A283" s="107"/>
      <c r="B283" s="108"/>
      <c r="C283" s="107"/>
      <c r="D283" s="107"/>
      <c r="E283" s="107"/>
      <c r="F283" s="107"/>
      <c r="G283" s="107"/>
      <c r="H283" s="62"/>
    </row>
    <row r="284" spans="6:7" ht="13.5" thickTop="1">
      <c r="F284" s="65" t="s">
        <v>22</v>
      </c>
      <c r="G284" s="109"/>
    </row>
    <row r="285" spans="1:7" ht="13.5" thickBot="1">
      <c r="A285" s="66"/>
      <c r="B285" s="66"/>
      <c r="C285" s="66"/>
      <c r="D285" s="66"/>
      <c r="E285" s="110"/>
      <c r="F285" s="67" t="s">
        <v>32</v>
      </c>
      <c r="G285" s="68" t="s">
        <v>23</v>
      </c>
    </row>
    <row r="286" spans="1:8" ht="13.5" thickTop="1">
      <c r="A286" s="69">
        <f>E29</f>
        <v>37711</v>
      </c>
      <c r="B286" s="70" t="s">
        <v>28</v>
      </c>
      <c r="C286" s="111"/>
      <c r="D286" s="111"/>
      <c r="E286" s="111"/>
      <c r="F286" s="57">
        <f>N29</f>
        <v>310478.65459249675</v>
      </c>
      <c r="G286" s="57">
        <f>F286</f>
        <v>310478.65459249675</v>
      </c>
      <c r="H286" s="69">
        <f>A286</f>
        <v>37711</v>
      </c>
    </row>
    <row r="287" spans="1:7" ht="12.75">
      <c r="A287" s="111"/>
      <c r="B287" s="35" t="s">
        <v>9</v>
      </c>
      <c r="C287" s="111"/>
      <c r="D287" s="111"/>
      <c r="E287" s="111"/>
      <c r="F287" s="57">
        <f>-F286</f>
        <v>-310478.65459249675</v>
      </c>
      <c r="G287" s="57">
        <f>G269+F287</f>
        <v>7877082.988453398</v>
      </c>
    </row>
    <row r="288" spans="1:7" ht="12.75">
      <c r="A288" s="111"/>
      <c r="B288" s="112" t="s">
        <v>115</v>
      </c>
      <c r="C288" s="111"/>
      <c r="D288" s="111"/>
      <c r="E288" s="111"/>
      <c r="F288" s="57"/>
      <c r="G288" s="57"/>
    </row>
    <row r="289" spans="1:7" ht="12.75">
      <c r="A289" s="111"/>
      <c r="B289" s="112"/>
      <c r="C289" s="111"/>
      <c r="D289" s="111"/>
      <c r="E289" s="111"/>
      <c r="F289" s="57"/>
      <c r="G289" s="57"/>
    </row>
    <row r="290" spans="1:8" ht="12.75">
      <c r="A290" s="69">
        <f>A286</f>
        <v>37711</v>
      </c>
      <c r="B290" s="70" t="s">
        <v>28</v>
      </c>
      <c r="C290" s="111"/>
      <c r="D290" s="111"/>
      <c r="E290" s="111"/>
      <c r="F290" s="57">
        <f>-K29</f>
        <v>-7156.856403622194</v>
      </c>
      <c r="G290" s="57">
        <f>F290+G286</f>
        <v>303321.79818887456</v>
      </c>
      <c r="H290" s="69">
        <f>H286</f>
        <v>37711</v>
      </c>
    </row>
    <row r="291" spans="1:7" ht="12.75">
      <c r="A291" s="111"/>
      <c r="B291" s="35" t="s">
        <v>9</v>
      </c>
      <c r="C291" s="111"/>
      <c r="D291" s="111"/>
      <c r="E291" s="111"/>
      <c r="F291" s="57">
        <f>-F290</f>
        <v>7156.856403622194</v>
      </c>
      <c r="G291" s="57">
        <f>F291+G287</f>
        <v>7884239.84485702</v>
      </c>
    </row>
    <row r="292" spans="1:7" ht="12.75">
      <c r="A292" s="111"/>
      <c r="B292" s="112" t="s">
        <v>116</v>
      </c>
      <c r="C292" s="111"/>
      <c r="D292" s="111"/>
      <c r="E292" s="111"/>
      <c r="F292" s="57"/>
      <c r="G292" s="57"/>
    </row>
    <row r="293" spans="1:7" ht="12.75">
      <c r="A293" s="111"/>
      <c r="B293" s="112"/>
      <c r="C293" s="111"/>
      <c r="D293" s="71" t="s">
        <v>21</v>
      </c>
      <c r="E293" s="111"/>
      <c r="F293" s="57"/>
      <c r="G293" s="57"/>
    </row>
    <row r="294" spans="1:8" ht="12.75">
      <c r="A294" s="69">
        <f>A286</f>
        <v>37711</v>
      </c>
      <c r="B294" s="35" t="s">
        <v>114</v>
      </c>
      <c r="C294" s="111"/>
      <c r="D294" s="111"/>
      <c r="E294" s="111"/>
      <c r="F294" s="57">
        <f>G294-G272</f>
        <v>-4090.1379057330296</v>
      </c>
      <c r="G294" s="57">
        <f>L29</f>
        <v>7646.45508407207</v>
      </c>
      <c r="H294" s="69">
        <f>H286</f>
        <v>37711</v>
      </c>
    </row>
    <row r="295" spans="1:8" ht="12.75">
      <c r="A295" s="204"/>
      <c r="B295" s="35" t="s">
        <v>74</v>
      </c>
      <c r="C295" s="111"/>
      <c r="D295" s="111"/>
      <c r="E295" s="111"/>
      <c r="F295" s="57">
        <f>G295-G273</f>
        <v>-52.73908499295237</v>
      </c>
      <c r="G295" s="57">
        <f>M29</f>
        <v>301.3370250132459</v>
      </c>
      <c r="H295" s="204"/>
    </row>
    <row r="296" spans="2:7" ht="12.75">
      <c r="B296" s="35" t="s">
        <v>44</v>
      </c>
      <c r="C296" s="111"/>
      <c r="D296" s="111"/>
      <c r="E296" s="111"/>
      <c r="F296" s="57">
        <f>-(F294+F295+F297)</f>
        <v>4142.876990725982</v>
      </c>
      <c r="G296" s="57">
        <f>-(G294+G295+G297)</f>
        <v>-7947.792109085316</v>
      </c>
    </row>
    <row r="297" spans="2:7" ht="12.75">
      <c r="B297" s="35" t="s">
        <v>147</v>
      </c>
      <c r="C297" s="111"/>
      <c r="D297" s="111"/>
      <c r="E297" s="111"/>
      <c r="F297" s="57">
        <f>H95</f>
        <v>0</v>
      </c>
      <c r="G297" s="57">
        <f>F297</f>
        <v>0</v>
      </c>
    </row>
    <row r="298" spans="2:7" ht="12.75">
      <c r="B298" s="112" t="s">
        <v>146</v>
      </c>
      <c r="C298" s="111"/>
      <c r="D298" s="111"/>
      <c r="E298" s="111"/>
      <c r="F298" s="57"/>
      <c r="G298" s="57" t="s">
        <v>21</v>
      </c>
    </row>
    <row r="299" spans="2:7" ht="12.75">
      <c r="B299" s="72"/>
      <c r="C299" s="35"/>
      <c r="D299" s="35"/>
      <c r="E299" s="35"/>
      <c r="F299" s="57"/>
      <c r="G299" s="57"/>
    </row>
    <row r="300" spans="1:8" ht="12.75">
      <c r="A300" s="69">
        <f>A286</f>
        <v>37711</v>
      </c>
      <c r="B300" s="35" t="s">
        <v>27</v>
      </c>
      <c r="C300" s="35"/>
      <c r="D300" s="35"/>
      <c r="E300" s="35"/>
      <c r="F300" s="57">
        <f>-(F301+F302)</f>
        <v>303321.79818887456</v>
      </c>
      <c r="G300" s="57">
        <f>F300+G278</f>
        <v>2115760.155142977</v>
      </c>
      <c r="H300" s="69">
        <f>H286</f>
        <v>37711</v>
      </c>
    </row>
    <row r="301" spans="2:7" ht="12.75">
      <c r="B301" s="35" t="s">
        <v>28</v>
      </c>
      <c r="C301" s="35"/>
      <c r="D301" s="35"/>
      <c r="E301" s="35"/>
      <c r="F301" s="57">
        <f>-G290</f>
        <v>-303321.79818887456</v>
      </c>
      <c r="G301" s="57">
        <f>G290+F301</f>
        <v>0</v>
      </c>
    </row>
    <row r="302" spans="2:7" ht="12.75">
      <c r="B302" s="35" t="s">
        <v>147</v>
      </c>
      <c r="C302" s="35"/>
      <c r="D302" s="35"/>
      <c r="E302" s="35"/>
      <c r="F302" s="57">
        <f>-G297</f>
        <v>0</v>
      </c>
      <c r="G302" s="57">
        <f>G297+F302</f>
        <v>0</v>
      </c>
    </row>
    <row r="303" spans="2:7" ht="12.75">
      <c r="B303" s="72" t="s">
        <v>29</v>
      </c>
      <c r="C303" s="35"/>
      <c r="D303" s="35"/>
      <c r="E303" s="35"/>
      <c r="F303" s="59"/>
      <c r="G303" s="59"/>
    </row>
    <row r="304" spans="2:7" ht="12.75">
      <c r="B304" s="72"/>
      <c r="C304" s="35"/>
      <c r="D304" s="35"/>
      <c r="E304" s="35"/>
      <c r="F304" s="76"/>
      <c r="G304" s="76"/>
    </row>
    <row r="305" spans="1:8" ht="13.5" thickBot="1">
      <c r="A305" s="107"/>
      <c r="B305" s="108"/>
      <c r="C305" s="107"/>
      <c r="D305" s="107"/>
      <c r="E305" s="107"/>
      <c r="F305" s="107"/>
      <c r="G305" s="107"/>
      <c r="H305" s="62"/>
    </row>
    <row r="306" spans="6:7" ht="13.5" thickTop="1">
      <c r="F306" s="65" t="s">
        <v>22</v>
      </c>
      <c r="G306" s="118"/>
    </row>
    <row r="307" spans="1:7" ht="13.5" thickBot="1">
      <c r="A307" s="66"/>
      <c r="B307" s="66"/>
      <c r="C307" s="66"/>
      <c r="D307" s="66"/>
      <c r="E307" s="110"/>
      <c r="F307" s="67" t="s">
        <v>32</v>
      </c>
      <c r="G307" s="68" t="s">
        <v>23</v>
      </c>
    </row>
    <row r="308" spans="1:8" ht="13.5" thickTop="1">
      <c r="A308" s="55">
        <f>E30</f>
        <v>37802</v>
      </c>
      <c r="B308" s="70" t="s">
        <v>28</v>
      </c>
      <c r="C308" s="111"/>
      <c r="D308" s="111"/>
      <c r="E308" s="111"/>
      <c r="F308" s="57">
        <f>N30</f>
        <v>310880.82901554403</v>
      </c>
      <c r="G308" s="57">
        <f>F308</f>
        <v>310880.82901554403</v>
      </c>
      <c r="H308" s="55">
        <f>A308</f>
        <v>37802</v>
      </c>
    </row>
    <row r="309" spans="1:7" ht="12.75">
      <c r="A309" s="111"/>
      <c r="B309" s="35" t="s">
        <v>9</v>
      </c>
      <c r="C309" s="111"/>
      <c r="D309" s="111"/>
      <c r="E309" s="111"/>
      <c r="F309" s="57">
        <f>-F308</f>
        <v>-310880.82901554403</v>
      </c>
      <c r="G309" s="57">
        <f>G291+F309</f>
        <v>7573359.015841477</v>
      </c>
    </row>
    <row r="310" spans="1:7" ht="12.75">
      <c r="A310" s="111"/>
      <c r="B310" s="112" t="s">
        <v>115</v>
      </c>
      <c r="C310" s="111"/>
      <c r="D310" s="111"/>
      <c r="E310" s="111"/>
      <c r="F310" s="57"/>
      <c r="G310" s="57"/>
    </row>
    <row r="311" spans="1:7" ht="12.75">
      <c r="A311" s="111"/>
      <c r="B311" s="112"/>
      <c r="C311" s="111"/>
      <c r="D311" s="111"/>
      <c r="E311" s="111"/>
      <c r="F311" s="57"/>
      <c r="G311" s="57"/>
    </row>
    <row r="312" spans="1:8" ht="12.75">
      <c r="A312" s="55">
        <f>A308</f>
        <v>37802</v>
      </c>
      <c r="B312" s="70" t="s">
        <v>28</v>
      </c>
      <c r="C312" s="111"/>
      <c r="D312" s="111"/>
      <c r="E312" s="111"/>
      <c r="F312" s="57">
        <f>-K30</f>
        <v>-7498.704663212411</v>
      </c>
      <c r="G312" s="57">
        <f>F312+G308</f>
        <v>303382.1243523316</v>
      </c>
      <c r="H312" s="55">
        <f>H308</f>
        <v>37802</v>
      </c>
    </row>
    <row r="313" spans="1:7" ht="12.75">
      <c r="A313" s="111"/>
      <c r="B313" s="35" t="s">
        <v>9</v>
      </c>
      <c r="C313" s="111"/>
      <c r="D313" s="111"/>
      <c r="E313" s="111"/>
      <c r="F313" s="57">
        <f>-F312</f>
        <v>7498.704663212411</v>
      </c>
      <c r="G313" s="57">
        <f>F313+G309</f>
        <v>7580857.720504689</v>
      </c>
    </row>
    <row r="314" spans="1:7" ht="12.75">
      <c r="A314" s="111"/>
      <c r="B314" s="112" t="s">
        <v>116</v>
      </c>
      <c r="C314" s="111"/>
      <c r="D314" s="111"/>
      <c r="E314" s="111"/>
      <c r="F314" s="57"/>
      <c r="G314" s="57"/>
    </row>
    <row r="315" spans="1:7" ht="12.75">
      <c r="A315" s="111"/>
      <c r="B315" s="112"/>
      <c r="C315" s="111"/>
      <c r="D315" s="71" t="s">
        <v>21</v>
      </c>
      <c r="E315" s="111"/>
      <c r="F315" s="57"/>
      <c r="G315" s="57"/>
    </row>
    <row r="316" spans="1:8" ht="12.75">
      <c r="A316" s="55">
        <f>A308</f>
        <v>37802</v>
      </c>
      <c r="B316" s="35" t="s">
        <v>114</v>
      </c>
      <c r="C316" s="111"/>
      <c r="D316" s="111"/>
      <c r="E316" s="111"/>
      <c r="F316" s="57">
        <f>G316-G294</f>
        <v>-7646.45508407207</v>
      </c>
      <c r="G316" s="57">
        <f>L30</f>
        <v>0</v>
      </c>
      <c r="H316" s="55">
        <f>H308</f>
        <v>37802</v>
      </c>
    </row>
    <row r="317" spans="1:8" ht="12.75">
      <c r="A317" s="204"/>
      <c r="B317" s="35" t="s">
        <v>74</v>
      </c>
      <c r="C317" s="111"/>
      <c r="D317" s="111"/>
      <c r="E317" s="111"/>
      <c r="F317" s="57">
        <f>G317-G295</f>
        <v>-301.3370250132459</v>
      </c>
      <c r="G317" s="57">
        <f>M30</f>
        <v>0</v>
      </c>
      <c r="H317" s="204"/>
    </row>
    <row r="318" spans="2:7" ht="12.75">
      <c r="B318" s="35" t="s">
        <v>44</v>
      </c>
      <c r="C318" s="111"/>
      <c r="D318" s="111"/>
      <c r="E318" s="111"/>
      <c r="F318" s="57">
        <f>-(F316+F317+F319)</f>
        <v>7947.792109085316</v>
      </c>
      <c r="G318" s="57">
        <f>-(G316+G317+G319)</f>
        <v>0</v>
      </c>
    </row>
    <row r="319" spans="2:7" ht="12.75">
      <c r="B319" s="35" t="s">
        <v>147</v>
      </c>
      <c r="C319" s="111"/>
      <c r="D319" s="111"/>
      <c r="E319" s="111"/>
      <c r="F319" s="57">
        <f>H96</f>
        <v>0</v>
      </c>
      <c r="G319" s="57">
        <f>F319</f>
        <v>0</v>
      </c>
    </row>
    <row r="320" spans="2:7" ht="12.75">
      <c r="B320" s="112" t="s">
        <v>146</v>
      </c>
      <c r="C320" s="111"/>
      <c r="D320" s="111"/>
      <c r="E320" s="111"/>
      <c r="F320" s="57"/>
      <c r="G320" s="57"/>
    </row>
    <row r="321" spans="2:7" ht="12.75">
      <c r="B321" s="72"/>
      <c r="C321" s="35"/>
      <c r="D321" s="35"/>
      <c r="E321" s="35"/>
      <c r="F321" s="57"/>
      <c r="G321" s="57"/>
    </row>
    <row r="322" spans="1:8" ht="12.75">
      <c r="A322" s="55">
        <f>A308</f>
        <v>37802</v>
      </c>
      <c r="B322" s="35" t="s">
        <v>27</v>
      </c>
      <c r="C322" s="35"/>
      <c r="D322" s="35"/>
      <c r="E322" s="35"/>
      <c r="F322" s="57">
        <f>-(F323+F324)</f>
        <v>303382.1243523316</v>
      </c>
      <c r="G322" s="57">
        <f>F322+G300</f>
        <v>2419142.2794953086</v>
      </c>
      <c r="H322" s="55">
        <f>H308</f>
        <v>37802</v>
      </c>
    </row>
    <row r="323" spans="2:7" ht="12.75">
      <c r="B323" s="35" t="s">
        <v>28</v>
      </c>
      <c r="C323" s="35"/>
      <c r="D323" s="35"/>
      <c r="E323" s="35"/>
      <c r="F323" s="57">
        <f>-G312</f>
        <v>-303382.1243523316</v>
      </c>
      <c r="G323" s="57">
        <f>G312+F323</f>
        <v>0</v>
      </c>
    </row>
    <row r="324" spans="2:7" ht="12.75">
      <c r="B324" s="35" t="s">
        <v>147</v>
      </c>
      <c r="C324" s="35"/>
      <c r="D324" s="35"/>
      <c r="E324" s="35"/>
      <c r="F324" s="57">
        <f>-G319</f>
        <v>0</v>
      </c>
      <c r="G324" s="57">
        <f>G319+F324</f>
        <v>0</v>
      </c>
    </row>
    <row r="325" spans="2:7" ht="12.75">
      <c r="B325" s="72" t="s">
        <v>29</v>
      </c>
      <c r="C325" s="35"/>
      <c r="D325" s="35"/>
      <c r="E325" s="35"/>
      <c r="F325" s="59"/>
      <c r="G325" s="59"/>
    </row>
    <row r="326" spans="2:7" ht="12.75">
      <c r="B326" s="72"/>
      <c r="C326" s="35"/>
      <c r="D326" s="35"/>
      <c r="E326" s="35"/>
      <c r="F326" s="57"/>
      <c r="G326" s="57"/>
    </row>
    <row r="327" spans="1:8" ht="12.75">
      <c r="A327" s="55">
        <f>A322</f>
        <v>37802</v>
      </c>
      <c r="B327" s="35" t="s">
        <v>9</v>
      </c>
      <c r="C327" s="35"/>
      <c r="D327" s="35"/>
      <c r="E327" s="35"/>
      <c r="F327" s="57">
        <f>-F142</f>
        <v>-10000000</v>
      </c>
      <c r="G327" s="57">
        <f>F327+G313</f>
        <v>-2419142.279495311</v>
      </c>
      <c r="H327" s="55">
        <f>H308</f>
        <v>37802</v>
      </c>
    </row>
    <row r="328" spans="2:7" ht="12.75">
      <c r="B328" s="35" t="s">
        <v>9</v>
      </c>
      <c r="D328" s="35"/>
      <c r="E328" s="35"/>
      <c r="F328" s="57">
        <f>-F143</f>
        <v>10000000</v>
      </c>
      <c r="G328" s="57">
        <f>F328+G327</f>
        <v>7580857.720504689</v>
      </c>
    </row>
    <row r="329" spans="2:7" ht="12.75">
      <c r="B329" s="72" t="s">
        <v>119</v>
      </c>
      <c r="E329" s="35"/>
      <c r="F329" s="59"/>
      <c r="G329" s="59"/>
    </row>
    <row r="330" spans="2:7" ht="12.75">
      <c r="B330" s="72"/>
      <c r="E330" s="35"/>
      <c r="F330" s="57"/>
      <c r="G330" s="57"/>
    </row>
    <row r="331" spans="2:7" ht="12.75">
      <c r="B331" s="35" t="s">
        <v>9</v>
      </c>
      <c r="E331" s="35"/>
      <c r="F331" s="57">
        <f>G139</f>
        <v>-10000000</v>
      </c>
      <c r="G331" s="57">
        <f>F331+G327</f>
        <v>-12419142.27949531</v>
      </c>
    </row>
    <row r="332" spans="2:7" ht="12.75">
      <c r="B332" s="35" t="s">
        <v>120</v>
      </c>
      <c r="E332" s="35"/>
      <c r="F332" s="57">
        <f>-F331</f>
        <v>10000000</v>
      </c>
      <c r="G332" s="57">
        <f>F332+G139</f>
        <v>0</v>
      </c>
    </row>
    <row r="333" spans="2:7" ht="12.75">
      <c r="B333" s="72" t="s">
        <v>121</v>
      </c>
      <c r="E333" s="35"/>
      <c r="F333" s="57"/>
      <c r="G333" s="57"/>
    </row>
    <row r="334" spans="2:7" ht="12.75">
      <c r="B334" s="72"/>
      <c r="E334" s="35"/>
      <c r="F334" s="57"/>
      <c r="G334" s="57"/>
    </row>
    <row r="335" spans="2:7" ht="12.75">
      <c r="B335" s="72"/>
      <c r="C335" s="35"/>
      <c r="D335" s="35"/>
      <c r="E335" s="35"/>
      <c r="F335" s="59"/>
      <c r="G335" s="59"/>
    </row>
    <row r="336" spans="1:8" ht="12.75">
      <c r="A336" s="107"/>
      <c r="B336" s="108"/>
      <c r="C336" s="107"/>
      <c r="D336" s="107"/>
      <c r="E336" s="107"/>
      <c r="F336" s="107"/>
      <c r="G336" s="107"/>
      <c r="H336" s="62"/>
    </row>
    <row r="338" ht="18">
      <c r="A338" s="33" t="s">
        <v>124</v>
      </c>
    </row>
    <row r="339" spans="1:5" ht="13.5" customHeight="1">
      <c r="A339" s="33"/>
      <c r="B339" s="280" t="s">
        <v>36</v>
      </c>
      <c r="C339" s="280" t="s">
        <v>125</v>
      </c>
      <c r="D339" s="280" t="s">
        <v>229</v>
      </c>
      <c r="E339" s="34" t="s">
        <v>21</v>
      </c>
    </row>
    <row r="340" spans="1:5" ht="12.75" customHeight="1">
      <c r="A340" s="33"/>
      <c r="B340" s="281" t="s">
        <v>19</v>
      </c>
      <c r="C340" s="281" t="s">
        <v>126</v>
      </c>
      <c r="D340" s="281" t="s">
        <v>230</v>
      </c>
      <c r="E340" s="34" t="s">
        <v>21</v>
      </c>
    </row>
    <row r="341" spans="2:4" ht="12.75">
      <c r="B341" s="282" t="s">
        <v>24</v>
      </c>
      <c r="C341" s="282" t="s">
        <v>5</v>
      </c>
      <c r="D341" s="283" t="s">
        <v>8</v>
      </c>
    </row>
    <row r="342" spans="1:4" ht="12.75">
      <c r="A342" s="87">
        <f>E22</f>
        <v>37073</v>
      </c>
      <c r="B342" s="284">
        <f>N23</f>
        <v>296662.54635352286</v>
      </c>
      <c r="C342" s="284">
        <f>K23</f>
        <v>-4586.835599505575</v>
      </c>
      <c r="D342" s="284">
        <f>B342-C342</f>
        <v>301249.38195302844</v>
      </c>
    </row>
    <row r="343" spans="1:4" ht="12.75">
      <c r="A343" s="88">
        <f aca="true" t="shared" si="115" ref="A343:A349">E23</f>
        <v>37164</v>
      </c>
      <c r="B343" s="285">
        <f aca="true" t="shared" si="116" ref="B343:B349">N24</f>
        <v>297766.7493796526</v>
      </c>
      <c r="C343" s="285">
        <f aca="true" t="shared" si="117" ref="C343:C349">K24</f>
        <v>-3648.2630272953247</v>
      </c>
      <c r="D343" s="285">
        <f aca="true" t="shared" si="118" ref="D343:D349">B343-C343</f>
        <v>301415.0124069479</v>
      </c>
    </row>
    <row r="344" spans="1:4" ht="12.75">
      <c r="A344" s="89">
        <f t="shared" si="115"/>
        <v>37256</v>
      </c>
      <c r="B344" s="286">
        <f t="shared" si="116"/>
        <v>301886.7924528302</v>
      </c>
      <c r="C344" s="286">
        <f t="shared" si="117"/>
        <v>-146.22641509436653</v>
      </c>
      <c r="D344" s="286">
        <f t="shared" si="118"/>
        <v>302033.0188679246</v>
      </c>
    </row>
    <row r="345" spans="1:4" ht="12.75">
      <c r="A345" s="90">
        <f t="shared" si="115"/>
        <v>37346</v>
      </c>
      <c r="B345" s="287">
        <f t="shared" si="116"/>
        <v>303797.46835443034</v>
      </c>
      <c r="C345" s="287">
        <f t="shared" si="117"/>
        <v>1477.8481012657867</v>
      </c>
      <c r="D345" s="287">
        <f t="shared" si="118"/>
        <v>302319.62025316455</v>
      </c>
    </row>
    <row r="346" spans="1:4" ht="12.75">
      <c r="A346" s="91">
        <f t="shared" si="115"/>
        <v>37437</v>
      </c>
      <c r="B346" s="288">
        <f t="shared" si="116"/>
        <v>304800.60960121924</v>
      </c>
      <c r="C346" s="288">
        <f t="shared" si="117"/>
        <v>2330.518161036307</v>
      </c>
      <c r="D346" s="288">
        <f t="shared" si="118"/>
        <v>302470.09144018294</v>
      </c>
    </row>
    <row r="347" spans="1:4" ht="12.75">
      <c r="A347" s="92">
        <f t="shared" si="115"/>
        <v>37529</v>
      </c>
      <c r="B347" s="289">
        <f t="shared" si="116"/>
        <v>308008.2135523614</v>
      </c>
      <c r="C347" s="289">
        <f t="shared" si="117"/>
        <v>5056.981519507157</v>
      </c>
      <c r="D347" s="289">
        <f t="shared" si="118"/>
        <v>302951.2320328542</v>
      </c>
    </row>
    <row r="348" spans="1:4" ht="12.75">
      <c r="A348" s="93">
        <f t="shared" si="115"/>
        <v>37621</v>
      </c>
      <c r="B348" s="290">
        <f t="shared" si="116"/>
        <v>310478.65459249675</v>
      </c>
      <c r="C348" s="290">
        <f t="shared" si="117"/>
        <v>7156.856403622194</v>
      </c>
      <c r="D348" s="290">
        <f t="shared" si="118"/>
        <v>303321.79818887456</v>
      </c>
    </row>
    <row r="349" spans="1:4" ht="13.5" thickBot="1">
      <c r="A349" s="94">
        <f t="shared" si="115"/>
        <v>37711</v>
      </c>
      <c r="B349" s="291">
        <f t="shared" si="116"/>
        <v>310880.82901554403</v>
      </c>
      <c r="C349" s="291">
        <f t="shared" si="117"/>
        <v>7498.704663212411</v>
      </c>
      <c r="D349" s="291">
        <f t="shared" si="118"/>
        <v>303382.1243523316</v>
      </c>
    </row>
    <row r="350" spans="1:5" ht="14.25" thickBot="1" thickTop="1">
      <c r="A350" s="279" t="s">
        <v>127</v>
      </c>
      <c r="B350" s="278">
        <f>SUM(B342:B349)</f>
        <v>2434281.863302057</v>
      </c>
      <c r="C350" s="278">
        <f>SUM(C342:C349)</f>
        <v>15139.58380674859</v>
      </c>
      <c r="D350" s="278">
        <f>SUM(D342:D349)</f>
        <v>2419142.2794953086</v>
      </c>
      <c r="E350" s="277" t="s">
        <v>21</v>
      </c>
    </row>
    <row r="351" spans="3:5" ht="13.5" thickTop="1">
      <c r="C351" s="35" t="s">
        <v>21</v>
      </c>
      <c r="E351" s="38" t="s">
        <v>21</v>
      </c>
    </row>
    <row r="353" ht="12.75">
      <c r="D353" s="39" t="s">
        <v>21</v>
      </c>
    </row>
  </sheetData>
  <mergeCells count="8">
    <mergeCell ref="T61:U61"/>
    <mergeCell ref="T75:U75"/>
    <mergeCell ref="T89:U89"/>
    <mergeCell ref="T103:U103"/>
    <mergeCell ref="T5:U5"/>
    <mergeCell ref="T19:U19"/>
    <mergeCell ref="T33:U33"/>
    <mergeCell ref="T47:U47"/>
  </mergeCells>
  <hyperlinks>
    <hyperlink ref="D328" r:id="rId1" display="http://www.trinity.edu/rjensen/acct5341/speakers/133glosf.htm"/>
    <hyperlink ref="A336" r:id="rId2" display="http://www.trinity.edu/rjensen/caseans/133exh02a.htm"/>
    <hyperlink ref="D53" r:id="rId3" display="http://www.trinity.edu/rjensen/acct5341/speakers/133glosf.htm"/>
    <hyperlink ref="D106" r:id="rId4" display="http://www.trinity.edu/rjensen/acct5341/speakers/133glosf.htm"/>
    <hyperlink ref="A107" r:id="rId5" display="http://www.trinity.edu/rjensen/caseans/133exh02a.htm"/>
    <hyperlink ref="B312" r:id="rId6" display="http://www.trinity.edu/rjensen/acct5341/speakers/133glosf.htm"/>
    <hyperlink ref="IV319" r:id="rId7" display="http://www.trinity.edu/rjensen/caseans/133exh02a.htm"/>
    <hyperlink ref="B37" r:id="rId8" display="http://www.trinity.edu/rjensen/acct5341/speakers/133glosf.htm"/>
    <hyperlink ref="IU91:IV91" r:id="rId9" display="http://www.trinity.edu/rjensen/caseans/133exh02a.htm"/>
    <hyperlink ref="C328" r:id="rId10" display="http://www.trinity.edu/rjensen/acct5341/speakers/133glosf.htm"/>
    <hyperlink ref="IV335" r:id="rId11" display="http://www.trinity.edu/rjensen/caseans/133exh02a.htm"/>
    <hyperlink ref="C53" r:id="rId12" display="http://www.trinity.edu/rjensen/acct5341/speakers/133glosf.htm"/>
    <hyperlink ref="C106" r:id="rId13" display="http://www.trinity.edu/rjensen/acct5341/speakers/133glosf.htm"/>
    <hyperlink ref="IV107" r:id="rId14" display="http://www.trinity.edu/rjensen/caseans/133exh02a.htm"/>
  </hyperlinks>
  <printOptions/>
  <pageMargins left="0.75" right="0.75" top="1" bottom="1" header="0.5" footer="0.5"/>
  <pageSetup horizontalDpi="200" verticalDpi="200" orientation="portrait" r:id="rId18"/>
  <drawing r:id="rId17"/>
  <legacyDrawing r:id="rId16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6">
      <selection activeCell="A51" sqref="A51"/>
    </sheetView>
  </sheetViews>
  <sheetFormatPr defaultColWidth="9.33203125" defaultRowHeight="12.75"/>
  <cols>
    <col min="2" max="2" width="25.33203125" style="0" customWidth="1"/>
    <col min="3" max="6" width="13.83203125" style="0" customWidth="1"/>
  </cols>
  <sheetData>
    <row r="1" ht="12.75">
      <c r="A1" t="s">
        <v>199</v>
      </c>
    </row>
    <row r="4" spans="3:6" ht="12.75">
      <c r="C4" s="3" t="s">
        <v>5</v>
      </c>
      <c r="D4" s="3" t="s">
        <v>7</v>
      </c>
      <c r="E4" s="3" t="s">
        <v>8</v>
      </c>
      <c r="F4" s="3" t="s">
        <v>9</v>
      </c>
    </row>
    <row r="5" spans="1:6" ht="12.75">
      <c r="A5" s="3" t="s">
        <v>63</v>
      </c>
      <c r="C5" s="3" t="s">
        <v>6</v>
      </c>
      <c r="D5" s="3" t="s">
        <v>6</v>
      </c>
      <c r="E5" s="3" t="s">
        <v>6</v>
      </c>
      <c r="F5" s="3" t="s">
        <v>6</v>
      </c>
    </row>
    <row r="6" spans="1:3" ht="12.75">
      <c r="A6" s="376">
        <v>0.102</v>
      </c>
      <c r="B6" s="2" t="s">
        <v>4</v>
      </c>
      <c r="C6" s="4">
        <v>0</v>
      </c>
    </row>
    <row r="7" ht="12.75">
      <c r="A7" s="202"/>
    </row>
    <row r="8" spans="1:3" ht="12.75">
      <c r="A8" s="202"/>
      <c r="B8" t="s">
        <v>0</v>
      </c>
      <c r="C8" s="4">
        <v>0</v>
      </c>
    </row>
    <row r="9" spans="1:6" ht="12.75">
      <c r="A9" s="202"/>
      <c r="B9" t="s">
        <v>1</v>
      </c>
      <c r="C9" s="5">
        <v>-27250</v>
      </c>
      <c r="F9" s="6">
        <f>-C9</f>
        <v>27250</v>
      </c>
    </row>
    <row r="10" spans="1:4" ht="12.75">
      <c r="A10" s="202"/>
      <c r="B10" t="s">
        <v>2</v>
      </c>
      <c r="C10" s="6">
        <f>+C12-C9</f>
        <v>52100</v>
      </c>
      <c r="D10" s="6">
        <f>-C10</f>
        <v>-52100</v>
      </c>
    </row>
    <row r="11" spans="1:6" ht="15">
      <c r="A11" s="202"/>
      <c r="B11" t="s">
        <v>3</v>
      </c>
      <c r="C11" s="8">
        <v>0</v>
      </c>
      <c r="D11" s="8">
        <f>-C9</f>
        <v>27250</v>
      </c>
      <c r="E11" s="8">
        <f>-D11</f>
        <v>-27250</v>
      </c>
      <c r="F11" s="8">
        <v>0</v>
      </c>
    </row>
    <row r="12" spans="1:6" ht="12.75">
      <c r="A12" s="380">
        <v>0.102</v>
      </c>
      <c r="B12" t="s">
        <v>15</v>
      </c>
      <c r="C12" s="5">
        <v>24850</v>
      </c>
      <c r="D12" s="6">
        <f>SUM(D8:D11)</f>
        <v>-24850</v>
      </c>
      <c r="E12" s="6">
        <f>SUM(E8:E11)</f>
        <v>-27250</v>
      </c>
      <c r="F12" s="6">
        <f>SUM(F8:F11)</f>
        <v>27250</v>
      </c>
    </row>
    <row r="13" spans="1:5" ht="12.75">
      <c r="A13" s="377"/>
      <c r="C13" s="6"/>
      <c r="E13" s="7"/>
    </row>
    <row r="14" spans="1:6" ht="12.75">
      <c r="A14" s="202"/>
      <c r="B14" t="s">
        <v>0</v>
      </c>
      <c r="C14" s="4">
        <f>C12*(A12/4)</f>
        <v>633.675</v>
      </c>
      <c r="D14" s="5">
        <f>-C14</f>
        <v>-633.675</v>
      </c>
      <c r="E14" s="5"/>
      <c r="F14" s="5"/>
    </row>
    <row r="15" spans="1:6" ht="12.75">
      <c r="A15" s="202"/>
      <c r="B15" t="s">
        <v>1</v>
      </c>
      <c r="C15" s="5">
        <v>-25500</v>
      </c>
      <c r="D15" s="5"/>
      <c r="E15" s="5"/>
      <c r="F15" s="6">
        <f>-C15</f>
        <v>25500</v>
      </c>
    </row>
    <row r="16" spans="1:6" ht="12.75">
      <c r="A16" s="202"/>
      <c r="B16" t="s">
        <v>2</v>
      </c>
      <c r="C16" s="6">
        <f>+C18-C12-C14-C15</f>
        <v>73816.325</v>
      </c>
      <c r="D16" s="6">
        <f>-C16</f>
        <v>-73816.325</v>
      </c>
      <c r="F16" s="5"/>
    </row>
    <row r="17" spans="1:6" ht="15">
      <c r="A17" s="202"/>
      <c r="B17" t="s">
        <v>3</v>
      </c>
      <c r="C17" s="8">
        <v>0</v>
      </c>
      <c r="D17" s="8">
        <f>-C15</f>
        <v>25500</v>
      </c>
      <c r="E17" s="8">
        <f>-D17</f>
        <v>-25500</v>
      </c>
      <c r="F17" s="8">
        <v>0</v>
      </c>
    </row>
    <row r="18" spans="1:6" ht="12.75">
      <c r="A18" s="381">
        <v>0.102</v>
      </c>
      <c r="B18" t="s">
        <v>10</v>
      </c>
      <c r="C18" s="5">
        <v>73800</v>
      </c>
      <c r="D18" s="6">
        <f>SUM(D12:D17)</f>
        <v>-73800</v>
      </c>
      <c r="E18" s="6">
        <f>SUM(E14:E17)</f>
        <v>-25500</v>
      </c>
      <c r="F18" s="6">
        <f>SUM(F14:F17)</f>
        <v>25500</v>
      </c>
    </row>
    <row r="19" spans="1:6" ht="12.75">
      <c r="A19" s="377"/>
      <c r="C19" s="6"/>
      <c r="D19" s="5"/>
      <c r="E19" s="5"/>
      <c r="F19" s="5"/>
    </row>
    <row r="20" spans="1:6" ht="12.75">
      <c r="A20" s="202"/>
      <c r="B20" t="s">
        <v>0</v>
      </c>
      <c r="C20" s="4">
        <f>C18*(A18/4)</f>
        <v>1881.8999999999999</v>
      </c>
      <c r="D20" s="5">
        <f>-C20</f>
        <v>-1881.8999999999999</v>
      </c>
      <c r="E20" s="5"/>
      <c r="F20" s="5"/>
    </row>
    <row r="21" spans="1:6" ht="12.75">
      <c r="A21" s="202"/>
      <c r="B21" t="s">
        <v>1</v>
      </c>
      <c r="C21" s="5">
        <v>-27250</v>
      </c>
      <c r="D21" s="5"/>
      <c r="E21" s="5"/>
      <c r="F21" s="5">
        <f>-C21</f>
        <v>27250</v>
      </c>
    </row>
    <row r="22" spans="1:6" ht="12.75">
      <c r="A22" s="202"/>
      <c r="B22" t="s">
        <v>2</v>
      </c>
      <c r="C22" s="6">
        <f>+C24-C18-C20-C21</f>
        <v>37478.1</v>
      </c>
      <c r="D22" s="6">
        <f>-C22</f>
        <v>-37478.1</v>
      </c>
      <c r="E22" s="5"/>
      <c r="F22" s="5"/>
    </row>
    <row r="23" spans="1:6" ht="15">
      <c r="A23" s="202"/>
      <c r="B23" t="s">
        <v>3</v>
      </c>
      <c r="C23" s="8">
        <v>0</v>
      </c>
      <c r="D23" s="8">
        <f>-C21</f>
        <v>27250</v>
      </c>
      <c r="E23" s="8">
        <f>-D23</f>
        <v>-27250</v>
      </c>
      <c r="F23" s="8">
        <v>0</v>
      </c>
    </row>
    <row r="24" spans="1:6" ht="12.75">
      <c r="A24" s="382">
        <v>0.102</v>
      </c>
      <c r="B24" t="s">
        <v>11</v>
      </c>
      <c r="C24" s="5">
        <v>85910</v>
      </c>
      <c r="D24" s="6">
        <f>SUM(D18:D23)</f>
        <v>-85910</v>
      </c>
      <c r="E24" s="6">
        <f>SUM(E20:E23)</f>
        <v>-27250</v>
      </c>
      <c r="F24" s="6">
        <f>SUM(F20:F23)</f>
        <v>27250</v>
      </c>
    </row>
    <row r="25" spans="1:6" ht="12.75">
      <c r="A25" s="202"/>
      <c r="D25" s="5"/>
      <c r="E25" s="5"/>
      <c r="F25" s="5"/>
    </row>
    <row r="26" spans="1:6" ht="12.75">
      <c r="A26" s="202"/>
      <c r="B26" t="s">
        <v>0</v>
      </c>
      <c r="C26" s="4">
        <f>C24*(A24/4)</f>
        <v>2190.705</v>
      </c>
      <c r="D26" s="5">
        <f>-C26</f>
        <v>-2190.705</v>
      </c>
      <c r="E26" s="5"/>
      <c r="F26" s="5"/>
    </row>
    <row r="27" spans="1:6" ht="12.75">
      <c r="A27" s="202"/>
      <c r="B27" t="s">
        <v>1</v>
      </c>
      <c r="C27" s="5">
        <v>-29500</v>
      </c>
      <c r="D27" s="5"/>
      <c r="E27" s="5"/>
      <c r="F27" s="5">
        <f>-C27</f>
        <v>29500</v>
      </c>
    </row>
    <row r="28" spans="1:6" ht="12.75">
      <c r="A28" s="202"/>
      <c r="B28" t="s">
        <v>2</v>
      </c>
      <c r="C28" s="6">
        <f>+C30-C24-C26-C27</f>
        <v>-101420.705</v>
      </c>
      <c r="D28" s="6">
        <f>-C28</f>
        <v>101420.705</v>
      </c>
      <c r="E28" s="5"/>
      <c r="F28" s="5"/>
    </row>
    <row r="29" spans="1:6" ht="15">
      <c r="A29" s="202"/>
      <c r="B29" t="s">
        <v>3</v>
      </c>
      <c r="C29" s="8">
        <v>0</v>
      </c>
      <c r="D29" s="8">
        <f>-C27</f>
        <v>29500</v>
      </c>
      <c r="E29" s="8">
        <f>-D29</f>
        <v>-29500</v>
      </c>
      <c r="F29" s="8">
        <v>0</v>
      </c>
    </row>
    <row r="30" spans="1:6" ht="12.75">
      <c r="A30" s="383">
        <v>0.102</v>
      </c>
      <c r="B30" t="s">
        <v>12</v>
      </c>
      <c r="C30" s="5">
        <v>-42820</v>
      </c>
      <c r="D30" s="6">
        <f>SUM(D24:D29)</f>
        <v>42820</v>
      </c>
      <c r="E30" s="6">
        <f>SUM(E26:E29)</f>
        <v>-29500</v>
      </c>
      <c r="F30" s="6">
        <f>SUM(F26:F29)</f>
        <v>29500</v>
      </c>
    </row>
    <row r="31" spans="1:6" ht="12.75">
      <c r="A31" s="202"/>
      <c r="C31" s="5"/>
      <c r="D31" s="5"/>
      <c r="E31" s="5"/>
      <c r="F31" s="5"/>
    </row>
    <row r="32" spans="1:6" ht="12.75">
      <c r="A32" s="202"/>
      <c r="B32" t="s">
        <v>0</v>
      </c>
      <c r="C32" s="4">
        <f>C30*(A30/4)</f>
        <v>-1091.9099999999999</v>
      </c>
      <c r="D32" s="5">
        <f>-C32</f>
        <v>1091.9099999999999</v>
      </c>
      <c r="E32" s="5"/>
      <c r="F32" s="5"/>
    </row>
    <row r="33" spans="1:6" ht="12.75">
      <c r="A33" s="202"/>
      <c r="B33" t="s">
        <v>1</v>
      </c>
      <c r="C33" s="5">
        <v>2500</v>
      </c>
      <c r="D33" s="5"/>
      <c r="E33" s="5"/>
      <c r="F33" s="5">
        <f>-C33</f>
        <v>-2500</v>
      </c>
    </row>
    <row r="34" spans="1:6" ht="12.75">
      <c r="A34" s="202"/>
      <c r="B34" t="s">
        <v>2</v>
      </c>
      <c r="C34" s="6">
        <f>+C36-C30-C32-C33</f>
        <v>8251.91</v>
      </c>
      <c r="D34" s="6">
        <f>-C34</f>
        <v>-8251.91</v>
      </c>
      <c r="E34" s="5"/>
      <c r="F34" s="5"/>
    </row>
    <row r="35" spans="1:6" ht="15">
      <c r="A35" s="202"/>
      <c r="B35" t="s">
        <v>3</v>
      </c>
      <c r="C35" s="8">
        <v>0</v>
      </c>
      <c r="D35" s="8">
        <f>-C33</f>
        <v>-2500</v>
      </c>
      <c r="E35" s="8">
        <f>-D35</f>
        <v>2500</v>
      </c>
      <c r="F35" s="8">
        <v>0</v>
      </c>
    </row>
    <row r="36" spans="1:6" ht="12.75">
      <c r="A36" s="384">
        <v>0.102</v>
      </c>
      <c r="B36" t="s">
        <v>13</v>
      </c>
      <c r="C36" s="5">
        <v>-33160</v>
      </c>
      <c r="D36" s="6">
        <f>SUM(D30:D35)</f>
        <v>33160</v>
      </c>
      <c r="E36" s="6">
        <f>SUM(E32:E35)</f>
        <v>2500</v>
      </c>
      <c r="F36" s="6">
        <f>SUM(F32:F35)</f>
        <v>-2500</v>
      </c>
    </row>
    <row r="37" spans="1:6" ht="12.75">
      <c r="A37" s="202"/>
      <c r="C37" s="5"/>
      <c r="D37" s="5"/>
      <c r="E37" s="5"/>
      <c r="F37" s="5"/>
    </row>
    <row r="38" spans="1:6" ht="12.75">
      <c r="A38" s="202"/>
      <c r="B38" t="s">
        <v>0</v>
      </c>
      <c r="C38" s="4">
        <f>C36*(A36/4)</f>
        <v>-845.5799999999999</v>
      </c>
      <c r="D38" s="5">
        <f>-C38</f>
        <v>845.5799999999999</v>
      </c>
      <c r="E38" s="5"/>
      <c r="F38" s="5"/>
    </row>
    <row r="39" spans="1:6" ht="12.75">
      <c r="A39" s="202"/>
      <c r="B39" t="s">
        <v>1</v>
      </c>
      <c r="C39" s="5">
        <v>5250</v>
      </c>
      <c r="D39" s="5"/>
      <c r="E39" s="5"/>
      <c r="F39" s="5">
        <f>-C39</f>
        <v>-5250</v>
      </c>
    </row>
    <row r="40" spans="1:6" ht="12.75">
      <c r="A40" s="202"/>
      <c r="B40" t="s">
        <v>2</v>
      </c>
      <c r="C40" s="6">
        <f>+C42-C36-C38-C39</f>
        <v>6905.58</v>
      </c>
      <c r="D40" s="6">
        <f>-C40</f>
        <v>-6905.58</v>
      </c>
      <c r="E40" s="5"/>
      <c r="F40" s="5"/>
    </row>
    <row r="41" spans="1:6" ht="15">
      <c r="A41" s="202"/>
      <c r="B41" t="s">
        <v>3</v>
      </c>
      <c r="C41" s="8">
        <v>0</v>
      </c>
      <c r="D41" s="8">
        <f>-C39</f>
        <v>-5250</v>
      </c>
      <c r="E41" s="8">
        <f>-D41</f>
        <v>5250</v>
      </c>
      <c r="F41" s="8">
        <v>0</v>
      </c>
    </row>
    <row r="42" spans="1:6" ht="12.75">
      <c r="A42" s="385">
        <v>0.102</v>
      </c>
      <c r="B42" t="s">
        <v>14</v>
      </c>
      <c r="C42" s="5">
        <v>-21850</v>
      </c>
      <c r="D42" s="6">
        <f>SUM(D36:D41)</f>
        <v>21850</v>
      </c>
      <c r="E42" s="6">
        <f>SUM(E38:E41)</f>
        <v>5250</v>
      </c>
      <c r="F42" s="6">
        <f>SUM(F38:F41)</f>
        <v>-5250</v>
      </c>
    </row>
    <row r="43" spans="1:6" ht="12.75">
      <c r="A43" s="202"/>
      <c r="C43" s="5"/>
      <c r="D43" s="5"/>
      <c r="E43" s="5"/>
      <c r="F43" s="5"/>
    </row>
    <row r="44" spans="1:6" ht="12.75">
      <c r="A44" s="202"/>
      <c r="B44" t="s">
        <v>0</v>
      </c>
      <c r="C44" s="4">
        <f>C42*(A42/4)</f>
        <v>-557.175</v>
      </c>
      <c r="D44" s="5">
        <f>-C44</f>
        <v>557.175</v>
      </c>
      <c r="E44" s="5"/>
      <c r="F44" s="5"/>
    </row>
    <row r="45" spans="1:6" ht="12.75">
      <c r="A45" s="202"/>
      <c r="B45" t="s">
        <v>1</v>
      </c>
      <c r="C45" s="5">
        <v>8000</v>
      </c>
      <c r="D45" s="5"/>
      <c r="E45" s="5"/>
      <c r="F45" s="5">
        <f>-C45</f>
        <v>-8000</v>
      </c>
    </row>
    <row r="46" spans="1:6" ht="12.75">
      <c r="A46" s="202"/>
      <c r="B46" t="s">
        <v>2</v>
      </c>
      <c r="C46" s="6">
        <f>+C48-C42-C44-C45</f>
        <v>16367.175</v>
      </c>
      <c r="D46" s="6">
        <f>-C46</f>
        <v>-16367.175</v>
      </c>
      <c r="E46" s="5"/>
      <c r="F46" s="5"/>
    </row>
    <row r="47" spans="1:6" ht="15">
      <c r="A47" s="202"/>
      <c r="B47" t="s">
        <v>3</v>
      </c>
      <c r="C47" s="8">
        <v>0</v>
      </c>
      <c r="D47" s="8">
        <f>-C45</f>
        <v>-8000</v>
      </c>
      <c r="E47" s="8">
        <f>-D47</f>
        <v>8000</v>
      </c>
      <c r="F47" s="8">
        <v>0</v>
      </c>
    </row>
    <row r="48" spans="1:6" ht="12.75">
      <c r="A48" s="380">
        <v>0.102</v>
      </c>
      <c r="B48" t="s">
        <v>16</v>
      </c>
      <c r="C48" s="5">
        <v>1960</v>
      </c>
      <c r="D48" s="6">
        <f>SUM(D42:D47)</f>
        <v>-1960</v>
      </c>
      <c r="E48" s="6">
        <f>SUM(E44:E47)</f>
        <v>8000</v>
      </c>
      <c r="F48" s="6">
        <f>SUM(F44:F47)</f>
        <v>-8000</v>
      </c>
    </row>
    <row r="49" spans="1:6" ht="12.75">
      <c r="A49" s="203"/>
      <c r="C49" s="5"/>
      <c r="D49" s="5"/>
      <c r="E49" s="5"/>
      <c r="F49" s="5"/>
    </row>
    <row r="50" spans="1:6" ht="12.75">
      <c r="A50" s="203"/>
      <c r="B50" t="s">
        <v>0</v>
      </c>
      <c r="C50" s="4">
        <f>C48*(A48/4)</f>
        <v>49.98</v>
      </c>
      <c r="D50" s="5">
        <f>-C50</f>
        <v>-49.98</v>
      </c>
      <c r="E50" s="5"/>
      <c r="F50" s="5"/>
    </row>
    <row r="51" spans="1:6" ht="12.75">
      <c r="A51" s="378"/>
      <c r="B51" t="s">
        <v>1</v>
      </c>
      <c r="C51" s="5">
        <v>-2000</v>
      </c>
      <c r="D51" s="5"/>
      <c r="E51" s="5"/>
      <c r="F51" s="5">
        <f>-C51</f>
        <v>2000</v>
      </c>
    </row>
    <row r="52" spans="1:6" ht="12.75">
      <c r="A52" s="378"/>
      <c r="B52" t="s">
        <v>18</v>
      </c>
      <c r="C52" s="6">
        <f>+C54-C48-C50-C51</f>
        <v>-9.980000000000018</v>
      </c>
      <c r="D52" s="6">
        <f>-C52</f>
        <v>9.980000000000018</v>
      </c>
      <c r="E52" s="5"/>
      <c r="F52" s="5"/>
    </row>
    <row r="53" spans="1:6" ht="15">
      <c r="A53" s="378"/>
      <c r="B53" t="s">
        <v>3</v>
      </c>
      <c r="C53" s="8">
        <v>0</v>
      </c>
      <c r="D53" s="8">
        <f>-C51</f>
        <v>2000</v>
      </c>
      <c r="E53" s="8">
        <f>-D53</f>
        <v>-2000</v>
      </c>
      <c r="F53" s="8">
        <v>0</v>
      </c>
    </row>
    <row r="54" spans="1:6" ht="12.75">
      <c r="A54" s="378"/>
      <c r="B54" t="s">
        <v>17</v>
      </c>
      <c r="C54" s="5">
        <v>0</v>
      </c>
      <c r="D54" s="5">
        <f>SUM(D48:D53)</f>
        <v>0</v>
      </c>
      <c r="E54" s="6">
        <f>SUM(E50:E53)</f>
        <v>-2000</v>
      </c>
      <c r="F54" s="6">
        <f>SUM(F50:F53)</f>
        <v>2000</v>
      </c>
    </row>
    <row r="55" spans="1:6" ht="12.75">
      <c r="A55" s="378"/>
      <c r="C55" s="5"/>
      <c r="D55" s="5"/>
      <c r="E55" s="5"/>
      <c r="F55" s="5"/>
    </row>
    <row r="56" spans="1:6" ht="12.75">
      <c r="A56" s="379"/>
      <c r="C56" s="5"/>
      <c r="D56" s="5"/>
      <c r="E56" s="5"/>
      <c r="F56" s="5"/>
    </row>
    <row r="57" spans="3:6" ht="12.75">
      <c r="C57" s="5"/>
      <c r="D57" s="5"/>
      <c r="E57" s="5"/>
      <c r="F57" s="5"/>
    </row>
    <row r="58" spans="3:6" ht="12.75">
      <c r="C58" s="5"/>
      <c r="D58" s="5"/>
      <c r="E58" s="5"/>
      <c r="F58" s="5"/>
    </row>
    <row r="59" spans="3:6" ht="12.75">
      <c r="C59" s="5"/>
      <c r="D59" s="5"/>
      <c r="E59" s="5"/>
      <c r="F59" s="5"/>
    </row>
    <row r="60" spans="3:6" ht="12.75">
      <c r="C60" s="5"/>
      <c r="D60" s="5"/>
      <c r="E60" s="5"/>
      <c r="F60" s="5"/>
    </row>
    <row r="61" spans="3:6" ht="12.75">
      <c r="C61" s="5"/>
      <c r="D61" s="5"/>
      <c r="E61" s="5"/>
      <c r="F61" s="5"/>
    </row>
    <row r="62" spans="3:6" ht="12.75">
      <c r="C62" s="5"/>
      <c r="D62" s="5"/>
      <c r="E62" s="5"/>
      <c r="F62" s="5"/>
    </row>
    <row r="63" spans="3:6" ht="12.75">
      <c r="C63" s="5"/>
      <c r="D63" s="5"/>
      <c r="E63" s="5"/>
      <c r="F63" s="5"/>
    </row>
    <row r="64" spans="3:6" ht="12.75">
      <c r="C64" s="5"/>
      <c r="D64" s="5"/>
      <c r="E64" s="5"/>
      <c r="F64" s="5"/>
    </row>
    <row r="65" spans="3:6" ht="12.75">
      <c r="C65" s="5"/>
      <c r="D65" s="5"/>
      <c r="E65" s="5"/>
      <c r="F65" s="5"/>
    </row>
    <row r="66" spans="3:6" ht="12.75">
      <c r="C66" s="5"/>
      <c r="D66" s="5"/>
      <c r="E66" s="5"/>
      <c r="F66" s="5"/>
    </row>
    <row r="67" spans="3:6" ht="12.75">
      <c r="C67" s="5"/>
      <c r="D67" s="5"/>
      <c r="E67" s="5"/>
      <c r="F67" s="5"/>
    </row>
    <row r="68" spans="3:6" ht="12.75">
      <c r="C68" s="5"/>
      <c r="D68" s="5"/>
      <c r="E68" s="5"/>
      <c r="F68" s="5"/>
    </row>
    <row r="69" spans="3:6" ht="12.75">
      <c r="C69" s="5"/>
      <c r="D69" s="5"/>
      <c r="E69" s="5"/>
      <c r="F69" s="5"/>
    </row>
    <row r="70" spans="3:6" ht="12.75">
      <c r="C70" s="5"/>
      <c r="D70" s="5"/>
      <c r="E70" s="5"/>
      <c r="F70" s="5"/>
    </row>
    <row r="71" spans="3:6" ht="12.75">
      <c r="C71" s="5"/>
      <c r="D71" s="5"/>
      <c r="E71" s="5"/>
      <c r="F71" s="5"/>
    </row>
    <row r="72" spans="3:6" ht="12.75">
      <c r="C72" s="5"/>
      <c r="D72" s="5"/>
      <c r="E72" s="5"/>
      <c r="F72" s="5"/>
    </row>
    <row r="73" spans="3:6" ht="12.75">
      <c r="C73" s="5"/>
      <c r="D73" s="5"/>
      <c r="E73" s="5"/>
      <c r="F73" s="5"/>
    </row>
    <row r="74" spans="3:6" ht="12.75">
      <c r="C74" s="5"/>
      <c r="D74" s="5"/>
      <c r="E74" s="5"/>
      <c r="F74" s="5"/>
    </row>
    <row r="75" spans="3:6" ht="12.75">
      <c r="C75" s="5"/>
      <c r="D75" s="5"/>
      <c r="E75" s="5"/>
      <c r="F75" s="5"/>
    </row>
    <row r="76" spans="3:6" ht="12.75">
      <c r="C76" s="5"/>
      <c r="D76" s="5"/>
      <c r="E76" s="5"/>
      <c r="F76" s="5"/>
    </row>
    <row r="77" spans="3:6" ht="12.75">
      <c r="C77" s="5"/>
      <c r="D77" s="5"/>
      <c r="E77" s="5"/>
      <c r="F77" s="5"/>
    </row>
    <row r="78" spans="3:6" ht="12.75">
      <c r="C78" s="5"/>
      <c r="D78" s="5"/>
      <c r="E78" s="5"/>
      <c r="F78" s="5"/>
    </row>
    <row r="79" spans="3:6" ht="12.75">
      <c r="C79" s="5"/>
      <c r="D79" s="5"/>
      <c r="E79" s="5"/>
      <c r="F79" s="5"/>
    </row>
    <row r="80" spans="3:6" ht="12.75">
      <c r="C80" s="5"/>
      <c r="D80" s="5"/>
      <c r="E80" s="5"/>
      <c r="F80" s="5"/>
    </row>
    <row r="81" spans="3:6" ht="12.75">
      <c r="C81" s="5"/>
      <c r="D81" s="5"/>
      <c r="E81" s="5"/>
      <c r="F81" s="5"/>
    </row>
    <row r="82" spans="3:6" ht="12.75">
      <c r="C82" s="5"/>
      <c r="D82" s="5"/>
      <c r="E82" s="5"/>
      <c r="F82" s="5"/>
    </row>
    <row r="83" spans="3:6" ht="12.75">
      <c r="C83" s="5"/>
      <c r="D83" s="5"/>
      <c r="E83" s="5"/>
      <c r="F83" s="5"/>
    </row>
    <row r="84" spans="3:6" ht="12.75">
      <c r="C84" s="5"/>
      <c r="D84" s="5"/>
      <c r="E84" s="5"/>
      <c r="F84" s="5"/>
    </row>
    <row r="85" spans="3:6" ht="12.75">
      <c r="C85" s="5"/>
      <c r="D85" s="5"/>
      <c r="E85" s="5"/>
      <c r="F85" s="5"/>
    </row>
    <row r="86" spans="3:6" ht="12.75">
      <c r="C86" s="5"/>
      <c r="D86" s="5"/>
      <c r="E86" s="5"/>
      <c r="F86" s="5"/>
    </row>
    <row r="87" spans="3:6" ht="12.75">
      <c r="C87" s="5"/>
      <c r="D87" s="5"/>
      <c r="E87" s="5"/>
      <c r="F87" s="5"/>
    </row>
    <row r="88" spans="3:6" ht="12.75">
      <c r="C88" s="5"/>
      <c r="D88" s="5"/>
      <c r="E88" s="5"/>
      <c r="F88" s="5"/>
    </row>
    <row r="89" spans="3:6" ht="12.75">
      <c r="C89" s="5"/>
      <c r="D89" s="5"/>
      <c r="E89" s="5"/>
      <c r="F89" s="5"/>
    </row>
    <row r="90" spans="3:6" ht="12.75">
      <c r="C90" s="5"/>
      <c r="D90" s="5"/>
      <c r="E90" s="5"/>
      <c r="F90" s="5"/>
    </row>
    <row r="91" spans="3:6" ht="12.75">
      <c r="C91" s="5"/>
      <c r="D91" s="5"/>
      <c r="E91" s="5"/>
      <c r="F91" s="5"/>
    </row>
    <row r="92" spans="3:6" ht="12.75">
      <c r="C92" s="5"/>
      <c r="D92" s="5"/>
      <c r="E92" s="5"/>
      <c r="F92" s="5"/>
    </row>
    <row r="93" spans="3:6" ht="12.75">
      <c r="C93" s="5"/>
      <c r="D93" s="5"/>
      <c r="E93" s="5"/>
      <c r="F93" s="5"/>
    </row>
    <row r="94" spans="3:6" ht="12.75">
      <c r="C94" s="5"/>
      <c r="D94" s="5"/>
      <c r="E94" s="5"/>
      <c r="F94" s="5"/>
    </row>
    <row r="95" spans="3:6" ht="12.75">
      <c r="C95" s="5"/>
      <c r="D95" s="5"/>
      <c r="E95" s="5"/>
      <c r="F95" s="5"/>
    </row>
    <row r="96" spans="3:6" ht="12.75">
      <c r="C96" s="5"/>
      <c r="D96" s="5"/>
      <c r="E96" s="5"/>
      <c r="F96" s="5"/>
    </row>
    <row r="97" spans="3:6" ht="12.75">
      <c r="C97" s="5"/>
      <c r="D97" s="5"/>
      <c r="E97" s="5"/>
      <c r="F97" s="5"/>
    </row>
    <row r="98" spans="3:6" ht="12.75">
      <c r="C98" s="5"/>
      <c r="D98" s="5"/>
      <c r="E98" s="5"/>
      <c r="F98" s="5"/>
    </row>
    <row r="99" spans="3:6" ht="12.75">
      <c r="C99" s="5"/>
      <c r="D99" s="5"/>
      <c r="E99" s="5"/>
      <c r="F99" s="5"/>
    </row>
    <row r="100" spans="3:6" ht="12.75">
      <c r="C100" s="5"/>
      <c r="D100" s="5"/>
      <c r="E100" s="5"/>
      <c r="F100" s="5"/>
    </row>
    <row r="101" spans="3:6" ht="12.75">
      <c r="C101" s="5"/>
      <c r="D101" s="5"/>
      <c r="E101" s="5"/>
      <c r="F101" s="5"/>
    </row>
    <row r="102" spans="3:6" ht="12.75">
      <c r="C102" s="5"/>
      <c r="D102" s="5"/>
      <c r="E102" s="5"/>
      <c r="F102" s="5"/>
    </row>
    <row r="103" spans="3:6" ht="12.75">
      <c r="C103" s="5"/>
      <c r="D103" s="5"/>
      <c r="E103" s="5"/>
      <c r="F103" s="5"/>
    </row>
    <row r="104" spans="3:6" ht="12.75">
      <c r="C104" s="5"/>
      <c r="D104" s="5"/>
      <c r="E104" s="5"/>
      <c r="F104" s="5"/>
    </row>
    <row r="105" spans="3:6" ht="12.75">
      <c r="C105" s="5"/>
      <c r="D105" s="5"/>
      <c r="E105" s="5"/>
      <c r="F105" s="5"/>
    </row>
    <row r="106" spans="3:6" ht="12.75">
      <c r="C106" s="5"/>
      <c r="D106" s="5"/>
      <c r="E106" s="5"/>
      <c r="F106" s="5"/>
    </row>
    <row r="107" spans="3:6" ht="12.75">
      <c r="C107" s="5"/>
      <c r="D107" s="5"/>
      <c r="E107" s="5"/>
      <c r="F107" s="5"/>
    </row>
    <row r="108" spans="3:6" ht="12.75">
      <c r="C108" s="5"/>
      <c r="D108" s="5"/>
      <c r="E108" s="5"/>
      <c r="F108" s="5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Hubbard</dc:creator>
  <cp:keywords/>
  <dc:description/>
  <cp:lastModifiedBy>rjensen</cp:lastModifiedBy>
  <cp:lastPrinted>2000-02-17T18:54:52Z</cp:lastPrinted>
  <dcterms:created xsi:type="dcterms:W3CDTF">2000-02-01T19:27:59Z</dcterms:created>
  <dcterms:modified xsi:type="dcterms:W3CDTF">2000-07-06T19:59:29Z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